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Shooting Academy\RANGE DESIGN\"/>
    </mc:Choice>
  </mc:AlternateContent>
  <workbookProtection workbookAlgorithmName="SHA-512" workbookHashValue="buZpltNQFbTVL2ZeukCHn17x5kUpI9Z3twiCAaXMGiOW51IhTvHmKBen1DGxAm2tnVM02851YuVVabJ0Yz0XMg==" workbookSaltValue="YheUPhNe6NYLecdVsh8QFA==" workbookSpinCount="100000" lockStructure="1"/>
  <bookViews>
    <workbookView xWindow="0" yWindow="0" windowWidth="5570" windowHeight="560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" l="1"/>
  <c r="B41" i="2"/>
  <c r="B40" i="2"/>
  <c r="B38" i="2"/>
  <c r="B37" i="2"/>
  <c r="G12" i="1" l="1"/>
  <c r="B4" i="1"/>
  <c r="B4" i="2" l="1"/>
  <c r="A48" i="2" l="1"/>
  <c r="B6" i="2" l="1"/>
  <c r="G24" i="2" s="1"/>
  <c r="B7" i="2"/>
  <c r="B47" i="2" s="1"/>
  <c r="C47" i="2" s="1"/>
  <c r="B54" i="2"/>
  <c r="B42" i="2"/>
  <c r="C27" i="2"/>
  <c r="G19" i="2" l="1"/>
  <c r="I19" i="2" s="1"/>
  <c r="G21" i="2"/>
  <c r="I21" i="2" s="1"/>
  <c r="G23" i="2"/>
  <c r="H23" i="2" s="1"/>
  <c r="J23" i="2" s="1"/>
  <c r="G25" i="2"/>
  <c r="I25" i="2" s="1"/>
  <c r="G13" i="2"/>
  <c r="H13" i="2" s="1"/>
  <c r="J13" i="2" s="1"/>
  <c r="G11" i="2"/>
  <c r="I11" i="2" s="1"/>
  <c r="G15" i="2"/>
  <c r="I15" i="2" s="1"/>
  <c r="G17" i="2"/>
  <c r="H17" i="2" s="1"/>
  <c r="J17" i="2" s="1"/>
  <c r="C39" i="2"/>
  <c r="G39" i="2" s="1"/>
  <c r="I39" i="2" s="1"/>
  <c r="C38" i="2"/>
  <c r="F38" i="2" s="1"/>
  <c r="H38" i="2" s="1"/>
  <c r="C37" i="2"/>
  <c r="G37" i="2" s="1"/>
  <c r="C41" i="2"/>
  <c r="C40" i="2"/>
  <c r="G40" i="2" s="1"/>
  <c r="I40" i="2" s="1"/>
  <c r="H24" i="2"/>
  <c r="J24" i="2" s="1"/>
  <c r="I24" i="2"/>
  <c r="G10" i="2"/>
  <c r="G12" i="2"/>
  <c r="G14" i="2"/>
  <c r="G16" i="2"/>
  <c r="G18" i="2"/>
  <c r="G20" i="2"/>
  <c r="G22" i="2"/>
  <c r="H21" i="2" l="1"/>
  <c r="J21" i="2" s="1"/>
  <c r="H25" i="2"/>
  <c r="J25" i="2" s="1"/>
  <c r="I13" i="2"/>
  <c r="G38" i="2"/>
  <c r="I38" i="2" s="1"/>
  <c r="F40" i="2"/>
  <c r="H40" i="2" s="1"/>
  <c r="I37" i="2"/>
  <c r="H19" i="2"/>
  <c r="J19" i="2" s="1"/>
  <c r="I23" i="2"/>
  <c r="F37" i="2"/>
  <c r="H37" i="2" s="1"/>
  <c r="F39" i="2"/>
  <c r="H39" i="2" s="1"/>
  <c r="H11" i="2"/>
  <c r="J11" i="2" s="1"/>
  <c r="H15" i="2"/>
  <c r="J15" i="2" s="1"/>
  <c r="I17" i="2"/>
  <c r="F41" i="2"/>
  <c r="H41" i="2" s="1"/>
  <c r="G41" i="2"/>
  <c r="I41" i="2" s="1"/>
  <c r="C42" i="2"/>
  <c r="D47" i="2" s="1"/>
  <c r="H22" i="2"/>
  <c r="J22" i="2" s="1"/>
  <c r="I22" i="2"/>
  <c r="H16" i="2"/>
  <c r="J16" i="2" s="1"/>
  <c r="I16" i="2"/>
  <c r="H20" i="2"/>
  <c r="J20" i="2" s="1"/>
  <c r="I20" i="2"/>
  <c r="I18" i="2"/>
  <c r="H18" i="2"/>
  <c r="J18" i="2" s="1"/>
  <c r="H14" i="2"/>
  <c r="J14" i="2" s="1"/>
  <c r="I14" i="2"/>
  <c r="H12" i="2"/>
  <c r="J12" i="2" s="1"/>
  <c r="I12" i="2"/>
  <c r="I10" i="2"/>
  <c r="G27" i="2"/>
  <c r="H10" i="2"/>
  <c r="J10" i="2" s="1"/>
  <c r="E47" i="2" l="1"/>
  <c r="E48" i="2" s="1"/>
  <c r="D48" i="2"/>
  <c r="I43" i="2"/>
  <c r="G43" i="2"/>
  <c r="H43" i="2"/>
  <c r="F43" i="2"/>
  <c r="J27" i="2"/>
  <c r="I27" i="2"/>
  <c r="C52" i="2" l="1"/>
  <c r="C51" i="2"/>
  <c r="C53" i="2"/>
  <c r="H44" i="2"/>
  <c r="I28" i="2"/>
  <c r="G52" i="2" l="1"/>
  <c r="I52" i="2" s="1"/>
  <c r="F52" i="2"/>
  <c r="H52" i="2" s="1"/>
  <c r="F53" i="2"/>
  <c r="H53" i="2" s="1"/>
  <c r="G53" i="2"/>
  <c r="I53" i="2" s="1"/>
  <c r="C19" i="1"/>
  <c r="G11" i="1" l="1"/>
  <c r="H11" i="1"/>
  <c r="K11" i="1"/>
  <c r="L11" i="1"/>
  <c r="L14" i="1"/>
  <c r="L13" i="1"/>
  <c r="L12" i="1"/>
  <c r="G14" i="1"/>
  <c r="H14" i="1" s="1"/>
  <c r="G13" i="1"/>
  <c r="H13" i="1" s="1"/>
  <c r="K14" i="1"/>
  <c r="K13" i="1"/>
  <c r="K12" i="1"/>
  <c r="G19" i="1" l="1"/>
  <c r="K19" i="1"/>
  <c r="H12" i="1"/>
  <c r="H19" i="1" s="1"/>
  <c r="L19" i="1"/>
  <c r="C29" i="1" l="1"/>
  <c r="C26" i="1"/>
  <c r="C25" i="1"/>
  <c r="D29" i="1" l="1"/>
  <c r="J29" i="1" s="1"/>
  <c r="K29" i="1" s="1"/>
  <c r="L29" i="1" s="1"/>
  <c r="F29" i="1"/>
  <c r="D26" i="1"/>
  <c r="J26" i="1" s="1"/>
  <c r="K26" i="1" s="1"/>
  <c r="L26" i="1" s="1"/>
  <c r="F26" i="1"/>
  <c r="F25" i="1"/>
  <c r="D25" i="1"/>
  <c r="J25" i="1" s="1"/>
  <c r="K25" i="1" s="1"/>
  <c r="L25" i="1" s="1"/>
  <c r="L32" i="1" l="1"/>
  <c r="L35" i="1" s="1"/>
  <c r="L36" i="1" s="1"/>
  <c r="G26" i="1"/>
  <c r="H26" i="1"/>
  <c r="F32" i="1"/>
  <c r="H29" i="1"/>
  <c r="G29" i="1"/>
  <c r="G25" i="1"/>
  <c r="H25" i="1"/>
  <c r="H32" i="1" l="1"/>
  <c r="H35" i="1" s="1"/>
  <c r="G32" i="1"/>
  <c r="C54" i="2"/>
  <c r="F51" i="2"/>
  <c r="F55" i="2" s="1"/>
  <c r="G51" i="2"/>
  <c r="I51" i="2" s="1"/>
  <c r="I55" i="2" s="1"/>
  <c r="H51" i="2" l="1"/>
  <c r="H55" i="2" s="1"/>
  <c r="H56" i="2" s="1"/>
</calcChain>
</file>

<file path=xl/sharedStrings.xml><?xml version="1.0" encoding="utf-8"?>
<sst xmlns="http://schemas.openxmlformats.org/spreadsheetml/2006/main" count="157" uniqueCount="126">
  <si>
    <t>Memberhip</t>
  </si>
  <si>
    <t>Basic</t>
  </si>
  <si>
    <t>Defender</t>
  </si>
  <si>
    <t>Range Usage</t>
  </si>
  <si>
    <t>Patriot VIP</t>
  </si>
  <si>
    <t>Per Anum</t>
  </si>
  <si>
    <t>TOTAL INCOME</t>
  </si>
  <si>
    <t>Hours Open Daily</t>
  </si>
  <si>
    <t>RAW MAX TOTAL</t>
  </si>
  <si>
    <t>Membership Dues / Anum</t>
  </si>
  <si>
    <t>Lane Charge per Hour</t>
  </si>
  <si>
    <t>VIRTRA VIP USE</t>
  </si>
  <si>
    <t>Year Max after Membership Useage</t>
  </si>
  <si>
    <t>SUMMATION</t>
  </si>
  <si>
    <t>No Members</t>
  </si>
  <si>
    <t>With Members</t>
  </si>
  <si>
    <t>VIP SUITE - RENT Non Member</t>
  </si>
  <si>
    <t>First Year (Inc Fees)</t>
  </si>
  <si>
    <t>Month Income Member Range Fee</t>
  </si>
  <si>
    <t>Hour Units Per Month (30 Days)</t>
  </si>
  <si>
    <t>NON Member - Walk-in</t>
  </si>
  <si>
    <t>Number of Members per Category</t>
  </si>
  <si>
    <t>Membership Initial Processing Fee</t>
  </si>
  <si>
    <t>Hour Units per Day</t>
  </si>
  <si>
    <t>Hour Units Left after Membership Useage per Month</t>
  </si>
  <si>
    <t>Income per Month after Membership Useage per Month</t>
  </si>
  <si>
    <t>Yearly        Max   (365 days)</t>
  </si>
  <si>
    <t>Monthly    Max (30 days)</t>
  </si>
  <si>
    <t>Maximum Income per Day</t>
  </si>
  <si>
    <t>25 Yard Shooting Lanes</t>
  </si>
  <si>
    <t>VIP Suite (3x25 Yard lanes each)</t>
  </si>
  <si>
    <t>VIRTRA LASER  (320 Degree)</t>
  </si>
  <si>
    <t>Number of Shooting Lanes Available</t>
  </si>
  <si>
    <t>Membership Fees per Month</t>
  </si>
  <si>
    <t>Members Lane Useage per Month</t>
  </si>
  <si>
    <t>TOTAL OF INITIATION FEES (One Time)</t>
  </si>
  <si>
    <t>Pro-Shop Square Feet</t>
  </si>
  <si>
    <t>Cost per One Sq. Ft.</t>
  </si>
  <si>
    <t>Total Cost to Stock</t>
  </si>
  <si>
    <t>Number of Lanes</t>
  </si>
  <si>
    <t>Classification</t>
  </si>
  <si>
    <t>Typical % Of Pro-Shop $$$</t>
  </si>
  <si>
    <t>Anticipated Margin</t>
  </si>
  <si>
    <t>Average Margin</t>
  </si>
  <si>
    <t>Anticipated Turns</t>
  </si>
  <si>
    <t>Cost PER Stock Turn</t>
  </si>
  <si>
    <t>Profit Per Turn</t>
  </si>
  <si>
    <t>Cost to Stock for Turns</t>
  </si>
  <si>
    <t>Handguns</t>
  </si>
  <si>
    <t>30-40</t>
  </si>
  <si>
    <t>12-24</t>
  </si>
  <si>
    <t>18</t>
  </si>
  <si>
    <t>Rifles</t>
  </si>
  <si>
    <t>15-20</t>
  </si>
  <si>
    <t>17</t>
  </si>
  <si>
    <t>Shotguns</t>
  </si>
  <si>
    <t>2-5</t>
  </si>
  <si>
    <t>12-18</t>
  </si>
  <si>
    <t>15</t>
  </si>
  <si>
    <t>Used Firearms</t>
  </si>
  <si>
    <t>5-10</t>
  </si>
  <si>
    <t>30</t>
  </si>
  <si>
    <t>Defense Ammo</t>
  </si>
  <si>
    <t>40</t>
  </si>
  <si>
    <t>Other Ammo</t>
  </si>
  <si>
    <t>3-6</t>
  </si>
  <si>
    <t>25</t>
  </si>
  <si>
    <t>Shooting Accessories</t>
  </si>
  <si>
    <t>10-15</t>
  </si>
  <si>
    <t>35</t>
  </si>
  <si>
    <t>Optics</t>
  </si>
  <si>
    <t>4-8</t>
  </si>
  <si>
    <t>23-30</t>
  </si>
  <si>
    <t>27</t>
  </si>
  <si>
    <t>Holsters</t>
  </si>
  <si>
    <t>2-4</t>
  </si>
  <si>
    <t>35-45</t>
  </si>
  <si>
    <t>Knives</t>
  </si>
  <si>
    <t>1</t>
  </si>
  <si>
    <t>35-50</t>
  </si>
  <si>
    <t>43</t>
  </si>
  <si>
    <t>Clothing</t>
  </si>
  <si>
    <t>40-50</t>
  </si>
  <si>
    <t>45</t>
  </si>
  <si>
    <t>Airguns</t>
  </si>
  <si>
    <t>Eye / Ear Protection</t>
  </si>
  <si>
    <t>Safes</t>
  </si>
  <si>
    <t>2-6</t>
  </si>
  <si>
    <t>25-35</t>
  </si>
  <si>
    <t>Reloading</t>
  </si>
  <si>
    <t>20-25</t>
  </si>
  <si>
    <t>23</t>
  </si>
  <si>
    <t xml:space="preserve">Other </t>
  </si>
  <si>
    <t>Financials</t>
  </si>
  <si>
    <t>Percentage Profit</t>
  </si>
  <si>
    <t>Range Ammo Useage</t>
  </si>
  <si>
    <t>Type of Ammo / Handgun</t>
  </si>
  <si>
    <t>Boxes Per Month (50 Units Per Box) [Handgun Lanes]</t>
  </si>
  <si>
    <t>Selling Price Per Box</t>
  </si>
  <si>
    <t>Anticipated Margin %</t>
  </si>
  <si>
    <t>Cost to Stock Per Month</t>
  </si>
  <si>
    <t>Profit / Month</t>
  </si>
  <si>
    <t>Annual Stocking Cost</t>
  </si>
  <si>
    <t>Annual Profit</t>
  </si>
  <si>
    <t>38Spl</t>
  </si>
  <si>
    <t>9mm</t>
  </si>
  <si>
    <t>40 S&amp;W</t>
  </si>
  <si>
    <t>45 ACP</t>
  </si>
  <si>
    <t>TOTALS</t>
  </si>
  <si>
    <t>Number of Lanes for Handgun</t>
  </si>
  <si>
    <t>Number of Lanes for Rifle</t>
  </si>
  <si>
    <t>Boxes Per Month (20 Units Per Box) [Rifle Lanes]</t>
  </si>
  <si>
    <t>223</t>
  </si>
  <si>
    <t>308</t>
  </si>
  <si>
    <t>3006</t>
  </si>
  <si>
    <t>Pro-Shop Square Footage</t>
  </si>
  <si>
    <t>Handgun / Rifle Ratio Enter % of Handgun (e.g. 82% Handgun 18% Rifle)</t>
  </si>
  <si>
    <t>Total Projectiles Down Range HANDGUN (50)</t>
  </si>
  <si>
    <t>Total Projectiles Down Range RIFLE (20)</t>
  </si>
  <si>
    <t>Lane Usage of Rifle Ammo (Per Lane per Month) %</t>
  </si>
  <si>
    <t>NATIONAL AVERAGE  Lane Usage of Handgun Boxes of Ammo (Per Lane Per Month) Actual</t>
  </si>
  <si>
    <t>BOXES</t>
  </si>
  <si>
    <t>LASER - RENT Non Member</t>
  </si>
  <si>
    <t>Annual    Profit             All Turns</t>
  </si>
  <si>
    <t>Average   % of Pro-Shop $$$</t>
  </si>
  <si>
    <t>ICV (Do NOT Alter)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</si>
</sst>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13" borderId="12" applyNumberFormat="0" applyAlignment="0" applyProtection="0"/>
  </cellStyleXfs>
  <cellXfs count="107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1" fontId="0" fillId="0" borderId="1" xfId="0" applyNumberFormat="1" applyBorder="1"/>
    <xf numFmtId="164" fontId="0" fillId="0" borderId="1" xfId="0" applyNumberFormat="1" applyBorder="1"/>
    <xf numFmtId="0" fontId="0" fillId="5" borderId="1" xfId="0" applyFill="1" applyBorder="1"/>
    <xf numFmtId="0" fontId="2" fillId="3" borderId="1" xfId="0" applyFont="1" applyFill="1" applyBorder="1"/>
    <xf numFmtId="1" fontId="2" fillId="3" borderId="1" xfId="0" applyNumberFormat="1" applyFont="1" applyFill="1" applyBorder="1"/>
    <xf numFmtId="164" fontId="2" fillId="3" borderId="1" xfId="0" applyNumberFormat="1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64" fontId="0" fillId="4" borderId="1" xfId="0" applyNumberFormat="1" applyFont="1" applyFill="1" applyBorder="1"/>
    <xf numFmtId="3" fontId="0" fillId="0" borderId="1" xfId="0" applyNumberFormat="1" applyFont="1" applyBorder="1"/>
    <xf numFmtId="164" fontId="0" fillId="4" borderId="1" xfId="0" applyNumberFormat="1" applyFill="1" applyBorder="1"/>
    <xf numFmtId="3" fontId="0" fillId="4" borderId="1" xfId="0" applyNumberFormat="1" applyFill="1" applyBorder="1"/>
    <xf numFmtId="3" fontId="0" fillId="0" borderId="1" xfId="0" applyNumberFormat="1" applyFill="1" applyBorder="1"/>
    <xf numFmtId="3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3" fontId="0" fillId="3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1" fillId="6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0" borderId="7" xfId="0" applyFont="1" applyBorder="1"/>
    <xf numFmtId="164" fontId="0" fillId="0" borderId="8" xfId="0" applyNumberFormat="1" applyFont="1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/>
    <xf numFmtId="164" fontId="0" fillId="0" borderId="0" xfId="0" applyNumberFormat="1" applyBorder="1"/>
    <xf numFmtId="164" fontId="0" fillId="0" borderId="8" xfId="0" applyNumberFormat="1" applyBorder="1"/>
    <xf numFmtId="0" fontId="2" fillId="3" borderId="7" xfId="0" applyFont="1" applyFill="1" applyBorder="1"/>
    <xf numFmtId="0" fontId="3" fillId="2" borderId="5" xfId="0" applyFont="1" applyFill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7" borderId="1" xfId="0" applyFill="1" applyBorder="1"/>
    <xf numFmtId="165" fontId="0" fillId="7" borderId="1" xfId="0" applyNumberFormat="1" applyFill="1" applyBorder="1" applyAlignment="1">
      <alignment horizontal="center"/>
    </xf>
    <xf numFmtId="0" fontId="0" fillId="0" borderId="0" xfId="0" applyFill="1"/>
    <xf numFmtId="0" fontId="0" fillId="6" borderId="1" xfId="0" applyFill="1" applyBorder="1" applyAlignment="1">
      <alignment wrapText="1"/>
    </xf>
    <xf numFmtId="49" fontId="0" fillId="6" borderId="1" xfId="0" applyNumberForma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164" fontId="0" fillId="9" borderId="1" xfId="0" applyNumberFormat="1" applyFill="1" applyBorder="1" applyAlignment="1">
      <alignment horizontal="right"/>
    </xf>
    <xf numFmtId="0" fontId="1" fillId="10" borderId="1" xfId="0" applyFont="1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10" fontId="0" fillId="9" borderId="1" xfId="0" applyNumberFormat="1" applyFill="1" applyBorder="1" applyAlignment="1">
      <alignment horizontal="center"/>
    </xf>
    <xf numFmtId="4" fontId="0" fillId="0" borderId="1" xfId="0" applyNumberFormat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0" fontId="1" fillId="6" borderId="1" xfId="0" applyFont="1" applyFill="1" applyBorder="1"/>
    <xf numFmtId="49" fontId="0" fillId="0" borderId="1" xfId="0" applyNumberFormat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9" fontId="0" fillId="0" borderId="0" xfId="0" applyNumberFormat="1"/>
    <xf numFmtId="49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0" fillId="9" borderId="1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11" borderId="1" xfId="0" applyFill="1" applyBorder="1" applyAlignment="1">
      <alignment horizontal="center"/>
    </xf>
    <xf numFmtId="165" fontId="4" fillId="12" borderId="1" xfId="0" applyNumberFormat="1" applyFont="1" applyFill="1" applyBorder="1" applyAlignment="1">
      <alignment horizontal="center"/>
    </xf>
    <xf numFmtId="164" fontId="4" fillId="12" borderId="1" xfId="0" applyNumberFormat="1" applyFont="1" applyFill="1" applyBorder="1"/>
    <xf numFmtId="0" fontId="1" fillId="0" borderId="0" xfId="0" applyFont="1"/>
    <xf numFmtId="164" fontId="4" fillId="12" borderId="8" xfId="0" applyNumberFormat="1" applyFont="1" applyFill="1" applyBorder="1"/>
    <xf numFmtId="164" fontId="4" fillId="12" borderId="0" xfId="0" applyNumberFormat="1" applyFont="1" applyFill="1" applyBorder="1"/>
    <xf numFmtId="164" fontId="4" fillId="12" borderId="6" xfId="0" applyNumberFormat="1" applyFont="1" applyFill="1" applyBorder="1"/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" fontId="4" fillId="13" borderId="12" xfId="1" applyNumberFormat="1" applyAlignment="1">
      <alignment horizontal="center"/>
    </xf>
    <xf numFmtId="0" fontId="4" fillId="13" borderId="12" xfId="1" applyAlignment="1">
      <alignment horizontal="center"/>
    </xf>
    <xf numFmtId="1" fontId="4" fillId="13" borderId="12" xfId="1" applyNumberFormat="1" applyAlignment="1">
      <alignment wrapText="1"/>
    </xf>
    <xf numFmtId="1" fontId="0" fillId="0" borderId="1" xfId="0" applyNumberFormat="1" applyFill="1" applyBorder="1" applyAlignment="1">
      <alignment wrapText="1"/>
    </xf>
    <xf numFmtId="0" fontId="0" fillId="14" borderId="0" xfId="0" applyFill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7620</xdr:rowOff>
    </xdr:from>
    <xdr:to>
      <xdr:col>11</xdr:col>
      <xdr:colOff>1021080</xdr:colOff>
      <xdr:row>22</xdr:row>
      <xdr:rowOff>0</xdr:rowOff>
    </xdr:to>
    <xdr:sp macro="" textlink="">
      <xdr:nvSpPr>
        <xdr:cNvPr id="2" name="TextBox 1"/>
        <xdr:cNvSpPr txBox="1"/>
      </xdr:nvSpPr>
      <xdr:spPr>
        <a:xfrm>
          <a:off x="3870960" y="3482340"/>
          <a:ext cx="9913620" cy="35814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tx1"/>
              </a:solidFill>
            </a:rPr>
            <a:t>NON-</a:t>
          </a:r>
          <a:r>
            <a:rPr lang="en-US" sz="1400" b="1" baseline="0">
              <a:solidFill>
                <a:schemeClr val="tx1"/>
              </a:solidFill>
            </a:rPr>
            <a:t> MEMBERSHIP / TRAINING MAXIMUM RANGE EARNING   ----/------------------  THEN WITH MEMBERSHIP</a:t>
          </a:r>
          <a:endParaRPr 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</xdr:colOff>
      <xdr:row>0</xdr:row>
      <xdr:rowOff>22860</xdr:rowOff>
    </xdr:from>
    <xdr:to>
      <xdr:col>12</xdr:col>
      <xdr:colOff>0</xdr:colOff>
      <xdr:row>5</xdr:row>
      <xdr:rowOff>60960</xdr:rowOff>
    </xdr:to>
    <xdr:sp macro="" textlink="">
      <xdr:nvSpPr>
        <xdr:cNvPr id="3" name="TextBox 2"/>
        <xdr:cNvSpPr txBox="1"/>
      </xdr:nvSpPr>
      <xdr:spPr>
        <a:xfrm>
          <a:off x="7620" y="22860"/>
          <a:ext cx="13784580" cy="9525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PURE - Range Use - No Instruction, No Ammo Sales, No Pro-shop Sales, No Gun</a:t>
          </a:r>
          <a:r>
            <a:rPr lang="en-US" sz="1100" b="1" baseline="0"/>
            <a:t> Cleaning.  </a:t>
          </a:r>
          <a:r>
            <a:rPr lang="en-US" sz="1100" baseline="0"/>
            <a:t>The </a:t>
          </a:r>
          <a:r>
            <a:rPr lang="en-US" sz="11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100" baseline="0"/>
            <a:t> shaded boxes you can change (i.e. Defender Monthly Membership = $29.95 (B13), Number of Patriot members = 150 (C14) at $250 per month (B14) plus $5000 initiation fee (I14).  Hours per day = 10 (B23).  Number of open range lanes = 16 (B25), VIP suites = 3 (B26) etc.</a:t>
          </a:r>
        </a:p>
        <a:p>
          <a:r>
            <a:rPr lang="en-US" sz="1100" baseline="0"/>
            <a:t>NOTE:  When you play with number of members and their usage each month (i.e. Basic = 500 members (C12) using the range 4 times (E12) per month), then take these cumulative hours away from the "possible" hours available (D25)  e.g. "Hour Units Per Month (D25), you'll have "Hour Units Left" (J25) (Yellow) - the yellow boxes </a:t>
          </a:r>
          <a:r>
            <a:rPr lang="en-US" sz="1100" b="1" i="1" u="sng" baseline="0"/>
            <a:t>can't go negative</a:t>
          </a:r>
          <a:r>
            <a:rPr lang="en-US" sz="1100" baseline="0"/>
            <a:t>.  For example if you had 700 members shooting 8 times a month, this would use 5600 hours, but the max you have is 4800 (D25) - So when playing with the member's useage, don't let the yellow boxes go negative!</a:t>
          </a:r>
          <a:endParaRPr lang="en-US" sz="1100"/>
        </a:p>
      </xdr:txBody>
    </xdr:sp>
    <xdr:clientData/>
  </xdr:twoCellAnchor>
  <xdr:twoCellAnchor>
    <xdr:from>
      <xdr:col>0</xdr:col>
      <xdr:colOff>30480</xdr:colOff>
      <xdr:row>37</xdr:row>
      <xdr:rowOff>15240</xdr:rowOff>
    </xdr:from>
    <xdr:to>
      <xdr:col>11</xdr:col>
      <xdr:colOff>1021080</xdr:colOff>
      <xdr:row>43</xdr:row>
      <xdr:rowOff>106680</xdr:rowOff>
    </xdr:to>
    <xdr:sp macro="" textlink="">
      <xdr:nvSpPr>
        <xdr:cNvPr id="4" name="TextBox 3"/>
        <xdr:cNvSpPr txBox="1"/>
      </xdr:nvSpPr>
      <xdr:spPr>
        <a:xfrm>
          <a:off x="30480" y="6964680"/>
          <a:ext cx="13754100" cy="1196340"/>
        </a:xfrm>
        <a:prstGeom prst="rect">
          <a:avLst/>
        </a:prstGeom>
        <a:solidFill>
          <a:schemeClr val="bg1">
            <a:lumMod val="95000"/>
          </a:schemeClr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you don't have any membership - and sell all "Hour"</a:t>
          </a:r>
          <a:r>
            <a:rPr lang="en-US" sz="1100" baseline="0"/>
            <a:t> units</a:t>
          </a:r>
          <a:r>
            <a:rPr lang="en-US" sz="1100"/>
            <a:t> at the costs defined - (25 Lanes [B25]</a:t>
          </a:r>
          <a:r>
            <a:rPr lang="en-US" sz="1100" baseline="0"/>
            <a:t> 3 VIP [B26] 1 Laser [B29] </a:t>
          </a:r>
          <a:r>
            <a:rPr lang="en-US" sz="1100"/>
            <a:t>you could make $2,555,000 (H32) per year.  By having members, the</a:t>
          </a:r>
          <a:r>
            <a:rPr lang="en-US" sz="1100" baseline="0"/>
            <a:t> monthly income from non-members gets smaller.  The example shown gives $1,991,400 (L35).  By adjusting the member useage numbers (E,12,13,14) you reduce the </a:t>
          </a:r>
          <a:r>
            <a:rPr lang="en-US" sz="1100" b="1" baseline="0"/>
            <a:t>"non-member hour units" </a:t>
          </a:r>
          <a:r>
            <a:rPr lang="en-US" sz="1100" baseline="0"/>
            <a:t>for sale to </a:t>
          </a:r>
          <a:r>
            <a:rPr lang="en-US" sz="1100" b="1" baseline="0">
              <a:solidFill>
                <a:srgbClr val="00B050"/>
              </a:solidFill>
            </a:rPr>
            <a:t>4500</a:t>
          </a:r>
          <a:r>
            <a:rPr lang="en-US" sz="1100" baseline="0"/>
            <a:t> (J25).</a:t>
          </a:r>
        </a:p>
        <a:p>
          <a:r>
            <a:rPr lang="en-US" sz="1100"/>
            <a:t>Let's take line 25 - (D25) shows a maximum of </a:t>
          </a:r>
          <a:r>
            <a:rPr lang="en-US" sz="1100" b="1">
              <a:solidFill>
                <a:srgbClr val="00B050"/>
              </a:solidFill>
            </a:rPr>
            <a:t>7500</a:t>
          </a:r>
          <a:r>
            <a:rPr lang="en-US" sz="1100"/>
            <a:t> hour units - if sold at $12 = $90,000 per month</a:t>
          </a:r>
          <a:r>
            <a:rPr lang="en-US" sz="1100" baseline="0"/>
            <a:t> (G25).  Further along, if you have 1000 (C12&amp;13) members shooting 4 times (E12&amp;13) each per month, then you use 4000 units for members and only have 3500 for sale to non-members (J25).  BUT... you are getting additional income from monthly membership fees (B12&amp;13) of 500 x $19.95 and 500 * $29.95.</a:t>
          </a:r>
        </a:p>
        <a:p>
          <a:r>
            <a:rPr lang="en-US" sz="1100" baseline="0"/>
            <a:t>The next version of this XCEL will have Pro-Shop and Ammo included...   </a:t>
          </a:r>
          <a:r>
            <a:rPr lang="en-US" sz="1100" b="1" baseline="0">
              <a:solidFill>
                <a:srgbClr val="FF0000"/>
              </a:solidFill>
            </a:rPr>
            <a:t>NOTE:  The numbers shown in the example above are only true for (25 lanes B25 and $12 per hour D11)</a:t>
          </a:r>
        </a:p>
        <a:p>
          <a:r>
            <a:rPr lang="en-US" sz="1100" b="1" baseline="0">
              <a:solidFill>
                <a:srgbClr val="0000FF"/>
              </a:solidFill>
            </a:rPr>
            <a:t>LESON LEARNED......  Regardless - Even if you have members, you MUST charge a nominal fee for range use.  If you don't you are limiting your income to the sum of membership fees. (Members may "eat-up" all available slots.)</a:t>
          </a:r>
          <a:endParaRPr lang="en-US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0</xdr:colOff>
      <xdr:row>5</xdr:row>
      <xdr:rowOff>152400</xdr:rowOff>
    </xdr:from>
    <xdr:to>
      <xdr:col>1</xdr:col>
      <xdr:colOff>1927860</xdr:colOff>
      <xdr:row>7</xdr:row>
      <xdr:rowOff>121920</xdr:rowOff>
    </xdr:to>
    <xdr:sp macro="" textlink="">
      <xdr:nvSpPr>
        <xdr:cNvPr id="6" name="TextBox 5"/>
        <xdr:cNvSpPr txBox="1"/>
      </xdr:nvSpPr>
      <xdr:spPr>
        <a:xfrm>
          <a:off x="0" y="1066800"/>
          <a:ext cx="3863340" cy="33528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Only change numbers in the Boxes Shaded BLUE</a:t>
          </a:r>
        </a:p>
      </xdr:txBody>
    </xdr:sp>
    <xdr:clientData/>
  </xdr:twoCellAnchor>
  <xdr:twoCellAnchor>
    <xdr:from>
      <xdr:col>3</xdr:col>
      <xdr:colOff>1135380</xdr:colOff>
      <xdr:row>5</xdr:row>
      <xdr:rowOff>137160</xdr:rowOff>
    </xdr:from>
    <xdr:to>
      <xdr:col>8</xdr:col>
      <xdr:colOff>0</xdr:colOff>
      <xdr:row>8</xdr:row>
      <xdr:rowOff>0</xdr:rowOff>
    </xdr:to>
    <xdr:sp macro="" textlink="">
      <xdr:nvSpPr>
        <xdr:cNvPr id="5" name="TextBox 4"/>
        <xdr:cNvSpPr txBox="1"/>
      </xdr:nvSpPr>
      <xdr:spPr>
        <a:xfrm>
          <a:off x="6035040" y="1051560"/>
          <a:ext cx="4114800" cy="41148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Developed purely as a Guide-Line from collected figures across US</a:t>
          </a:r>
        </a:p>
        <a:p>
          <a:pPr algn="ctr"/>
          <a:r>
            <a:rPr lang="en-US" sz="1000"/>
            <a:t>Written by Mike Davey</a:t>
          </a:r>
          <a:r>
            <a:rPr lang="en-US" sz="1000" baseline="0"/>
            <a:t> - www.shooting-academy.com</a:t>
          </a:r>
          <a:endParaRPr 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594360</xdr:colOff>
      <xdr:row>0</xdr:row>
      <xdr:rowOff>15240</xdr:rowOff>
    </xdr:from>
    <xdr:to>
      <xdr:col>7</xdr:col>
      <xdr:colOff>7620</xdr:colOff>
      <xdr:row>3</xdr:row>
      <xdr:rowOff>53340</xdr:rowOff>
    </xdr:to>
    <xdr:sp macro="" textlink="">
      <xdr:nvSpPr>
        <xdr:cNvPr id="6" name="TextBox 5"/>
        <xdr:cNvSpPr txBox="1"/>
      </xdr:nvSpPr>
      <xdr:spPr>
        <a:xfrm>
          <a:off x="3360420" y="15240"/>
          <a:ext cx="4206240" cy="58674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Pro-Shop / Range Ammo Supplies </a:t>
          </a:r>
        </a:p>
        <a:p>
          <a:pPr algn="ctr"/>
          <a:r>
            <a:rPr lang="en-US" sz="1200" b="1"/>
            <a:t>Costs</a:t>
          </a:r>
          <a:r>
            <a:rPr lang="en-US" sz="1200" b="1" baseline="0"/>
            <a:t> and Profits      USA Range Average Survey</a:t>
          </a:r>
          <a:endParaRPr lang="en-US" sz="1200" b="1"/>
        </a:p>
      </xdr:txBody>
    </xdr:sp>
    <xdr:clientData/>
  </xdr:twoCellAnchor>
  <xdr:twoCellAnchor>
    <xdr:from>
      <xdr:col>2</xdr:col>
      <xdr:colOff>807720</xdr:colOff>
      <xdr:row>3</xdr:row>
      <xdr:rowOff>121920</xdr:rowOff>
    </xdr:from>
    <xdr:to>
      <xdr:col>6</xdr:col>
      <xdr:colOff>807720</xdr:colOff>
      <xdr:row>5</xdr:row>
      <xdr:rowOff>91440</xdr:rowOff>
    </xdr:to>
    <xdr:sp macro="" textlink="">
      <xdr:nvSpPr>
        <xdr:cNvPr id="7" name="TextBox 6"/>
        <xdr:cNvSpPr txBox="1"/>
      </xdr:nvSpPr>
      <xdr:spPr>
        <a:xfrm>
          <a:off x="3573780" y="670560"/>
          <a:ext cx="3810000" cy="33528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Only change numbers in the Boxes Shaded BLUE</a:t>
          </a:r>
        </a:p>
      </xdr:txBody>
    </xdr:sp>
    <xdr:clientData/>
  </xdr:twoCellAnchor>
  <xdr:twoCellAnchor>
    <xdr:from>
      <xdr:col>0</xdr:col>
      <xdr:colOff>15240</xdr:colOff>
      <xdr:row>0</xdr:row>
      <xdr:rowOff>15240</xdr:rowOff>
    </xdr:from>
    <xdr:to>
      <xdr:col>1</xdr:col>
      <xdr:colOff>807720</xdr:colOff>
      <xdr:row>2</xdr:row>
      <xdr:rowOff>144780</xdr:rowOff>
    </xdr:to>
    <xdr:sp macro="" textlink="">
      <xdr:nvSpPr>
        <xdr:cNvPr id="8" name="TextBox 7"/>
        <xdr:cNvSpPr txBox="1"/>
      </xdr:nvSpPr>
      <xdr:spPr>
        <a:xfrm>
          <a:off x="15240" y="15240"/>
          <a:ext cx="2263140" cy="4953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solidFill>
                <a:srgbClr val="0070C0"/>
              </a:solidFill>
            </a:rPr>
            <a:t>This document prepared by www.shooting-academy.com</a:t>
          </a:r>
        </a:p>
      </xdr:txBody>
    </xdr:sp>
    <xdr:clientData/>
  </xdr:twoCellAnchor>
  <xdr:twoCellAnchor>
    <xdr:from>
      <xdr:col>0</xdr:col>
      <xdr:colOff>7620</xdr:colOff>
      <xdr:row>29</xdr:row>
      <xdr:rowOff>7620</xdr:rowOff>
    </xdr:from>
    <xdr:to>
      <xdr:col>9</xdr:col>
      <xdr:colOff>0</xdr:colOff>
      <xdr:row>33</xdr:row>
      <xdr:rowOff>15240</xdr:rowOff>
    </xdr:to>
    <xdr:sp macro="" textlink="">
      <xdr:nvSpPr>
        <xdr:cNvPr id="9" name="TextBox 8"/>
        <xdr:cNvSpPr txBox="1"/>
      </xdr:nvSpPr>
      <xdr:spPr>
        <a:xfrm>
          <a:off x="7620" y="5494020"/>
          <a:ext cx="9220200" cy="739140"/>
        </a:xfrm>
        <a:prstGeom prst="rect">
          <a:avLst/>
        </a:prstGeom>
        <a:solidFill>
          <a:schemeClr val="accent4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The Information below is subject to the "AVERAGE"</a:t>
          </a:r>
          <a:r>
            <a:rPr lang="en-US" sz="1100" baseline="0">
              <a:solidFill>
                <a:schemeClr val="bg1"/>
              </a:solidFill>
            </a:rPr>
            <a:t> of the shooting industry country wide.  From the analysis of collection of used ammo through bullet traps there appears to be an 82% / 18% ratio of Handgun v Rifle useage in ranges.  The figures below "Range Ammo Useage" are based upon these numbers.  NOTE: the figure of 82/18 is bullets NOT boxes, so boxes would be 82/50 and 18/20 e.g. 12,000 bullets would be 9,840 handgun = 197 boxes and 2,160 rifle = 108 boxes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9" zoomScaleNormal="100" workbookViewId="0">
      <selection activeCell="C13" sqref="C13"/>
    </sheetView>
  </sheetViews>
  <sheetFormatPr defaultRowHeight="14.5" x14ac:dyDescent="0.35"/>
  <cols>
    <col min="1" max="2" width="28.1796875" customWidth="1"/>
    <col min="3" max="3" width="15" customWidth="1"/>
    <col min="4" max="4" width="16.81640625" customWidth="1"/>
    <col min="5" max="5" width="14.1796875" customWidth="1"/>
    <col min="6" max="6" width="11.6328125" customWidth="1"/>
    <col min="7" max="7" width="16.453125" customWidth="1"/>
    <col min="8" max="8" width="17.453125" customWidth="1"/>
    <col min="9" max="9" width="1" customWidth="1"/>
    <col min="10" max="10" width="18.36328125" customWidth="1"/>
    <col min="11" max="11" width="18.81640625" customWidth="1"/>
    <col min="12" max="12" width="15" customWidth="1"/>
  </cols>
  <sheetData>
    <row r="1" spans="1:12" x14ac:dyDescent="0.3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x14ac:dyDescent="0.3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x14ac:dyDescent="0.3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x14ac:dyDescent="0.35">
      <c r="A4" s="30"/>
      <c r="B4" s="40">
        <f>Sheet1!D11</f>
        <v>12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x14ac:dyDescent="0.3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x14ac:dyDescent="0.3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x14ac:dyDescent="0.3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2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x14ac:dyDescent="0.3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s="4" customFormat="1" ht="43.5" x14ac:dyDescent="0.35">
      <c r="A10" s="33" t="s">
        <v>0</v>
      </c>
      <c r="B10" s="26" t="s">
        <v>33</v>
      </c>
      <c r="C10" s="26" t="s">
        <v>21</v>
      </c>
      <c r="D10" s="26" t="s">
        <v>10</v>
      </c>
      <c r="E10" s="26" t="s">
        <v>34</v>
      </c>
      <c r="F10" s="26"/>
      <c r="G10" s="26" t="s">
        <v>18</v>
      </c>
      <c r="H10" s="26" t="s">
        <v>5</v>
      </c>
      <c r="I10" s="26"/>
      <c r="J10" s="26" t="s">
        <v>22</v>
      </c>
      <c r="K10" s="26" t="s">
        <v>9</v>
      </c>
      <c r="L10" s="34" t="s">
        <v>35</v>
      </c>
    </row>
    <row r="11" spans="1:12" s="1" customFormat="1" x14ac:dyDescent="0.35">
      <c r="A11" s="35" t="s">
        <v>20</v>
      </c>
      <c r="B11" s="14">
        <v>0</v>
      </c>
      <c r="C11" s="13"/>
      <c r="D11" s="15">
        <v>12</v>
      </c>
      <c r="E11" s="16"/>
      <c r="F11" s="14"/>
      <c r="G11" s="8">
        <f>SUM(E11*30)</f>
        <v>0</v>
      </c>
      <c r="H11" s="8">
        <f>SUM(G11*12)</f>
        <v>0</v>
      </c>
      <c r="I11" s="8"/>
      <c r="J11" s="14"/>
      <c r="K11" s="14">
        <f>SUM(C11*B11*12)</f>
        <v>0</v>
      </c>
      <c r="L11" s="36">
        <f>SUM(C11*J11)</f>
        <v>0</v>
      </c>
    </row>
    <row r="12" spans="1:12" x14ac:dyDescent="0.35">
      <c r="A12" s="37" t="s">
        <v>1</v>
      </c>
      <c r="B12" s="17">
        <v>19.95</v>
      </c>
      <c r="C12" s="6">
        <v>500</v>
      </c>
      <c r="D12" s="17">
        <v>7</v>
      </c>
      <c r="E12" s="18">
        <v>4</v>
      </c>
      <c r="F12" s="8"/>
      <c r="G12" s="8">
        <f>SUM(C12*D12*E12)</f>
        <v>14000</v>
      </c>
      <c r="H12" s="8">
        <f t="shared" ref="H12:H14" si="0">SUM(G12*12)</f>
        <v>168000</v>
      </c>
      <c r="I12" s="8"/>
      <c r="J12" s="17">
        <v>20</v>
      </c>
      <c r="K12" s="14">
        <f t="shared" ref="K12:K14" si="1">SUM(C12*B12*12)</f>
        <v>119700</v>
      </c>
      <c r="L12" s="36">
        <f t="shared" ref="L12:L14" si="2">SUM(C12*J12)</f>
        <v>10000</v>
      </c>
    </row>
    <row r="13" spans="1:12" x14ac:dyDescent="0.35">
      <c r="A13" s="37" t="s">
        <v>2</v>
      </c>
      <c r="B13" s="17">
        <v>29.95</v>
      </c>
      <c r="C13" s="6">
        <v>500</v>
      </c>
      <c r="D13" s="17">
        <v>5</v>
      </c>
      <c r="E13" s="18">
        <v>2</v>
      </c>
      <c r="F13" s="8"/>
      <c r="G13" s="8">
        <f t="shared" ref="G13:G14" si="3">SUM(C13*D13)</f>
        <v>2500</v>
      </c>
      <c r="H13" s="8">
        <f t="shared" si="0"/>
        <v>30000</v>
      </c>
      <c r="I13" s="8"/>
      <c r="J13" s="17">
        <v>50</v>
      </c>
      <c r="K13" s="14">
        <f t="shared" si="1"/>
        <v>179700</v>
      </c>
      <c r="L13" s="36">
        <f t="shared" si="2"/>
        <v>25000</v>
      </c>
    </row>
    <row r="14" spans="1:12" x14ac:dyDescent="0.35">
      <c r="A14" s="37" t="s">
        <v>4</v>
      </c>
      <c r="B14" s="17">
        <v>250</v>
      </c>
      <c r="C14" s="6">
        <v>150</v>
      </c>
      <c r="D14" s="17">
        <v>0</v>
      </c>
      <c r="E14" s="18">
        <v>6</v>
      </c>
      <c r="F14" s="8"/>
      <c r="G14" s="8">
        <f t="shared" si="3"/>
        <v>0</v>
      </c>
      <c r="H14" s="8">
        <f t="shared" si="0"/>
        <v>0</v>
      </c>
      <c r="I14" s="8"/>
      <c r="J14" s="17">
        <v>5000</v>
      </c>
      <c r="K14" s="14">
        <f t="shared" si="1"/>
        <v>450000</v>
      </c>
      <c r="L14" s="36">
        <f t="shared" si="2"/>
        <v>750000</v>
      </c>
    </row>
    <row r="15" spans="1:12" x14ac:dyDescent="0.35">
      <c r="A15" s="37"/>
      <c r="B15" s="24"/>
      <c r="C15" s="25"/>
      <c r="D15" s="24"/>
      <c r="E15" s="19"/>
      <c r="F15" s="24"/>
      <c r="G15" s="24"/>
      <c r="H15" s="24"/>
      <c r="I15" s="24"/>
      <c r="J15" s="24"/>
      <c r="K15" s="14"/>
      <c r="L15" s="36"/>
    </row>
    <row r="16" spans="1:12" x14ac:dyDescent="0.35">
      <c r="A16" s="37" t="s">
        <v>16</v>
      </c>
      <c r="B16" s="8"/>
      <c r="C16" s="5"/>
      <c r="D16" s="17">
        <v>100</v>
      </c>
      <c r="E16" s="19"/>
      <c r="F16" s="8"/>
      <c r="G16" s="8"/>
      <c r="H16" s="8"/>
      <c r="I16" s="8"/>
      <c r="J16" s="5"/>
      <c r="K16" s="5"/>
      <c r="L16" s="38"/>
    </row>
    <row r="17" spans="1:12" x14ac:dyDescent="0.35">
      <c r="A17" s="37" t="s">
        <v>122</v>
      </c>
      <c r="B17" s="8"/>
      <c r="C17" s="5"/>
      <c r="D17" s="17">
        <v>100</v>
      </c>
      <c r="E17" s="20"/>
      <c r="F17" s="8"/>
      <c r="G17" s="8"/>
      <c r="H17" s="8"/>
      <c r="I17" s="8"/>
      <c r="J17" s="5"/>
      <c r="K17" s="5"/>
      <c r="L17" s="38"/>
    </row>
    <row r="18" spans="1:12" x14ac:dyDescent="0.35">
      <c r="A18" s="37" t="s">
        <v>11</v>
      </c>
      <c r="B18" s="5"/>
      <c r="C18" s="6">
        <v>150</v>
      </c>
      <c r="D18" s="17">
        <v>0</v>
      </c>
      <c r="E18" s="18">
        <v>1</v>
      </c>
      <c r="F18" s="8"/>
      <c r="G18" s="8"/>
      <c r="H18" s="8"/>
      <c r="I18" s="8"/>
      <c r="J18" s="5"/>
      <c r="K18" s="5"/>
      <c r="L18" s="38"/>
    </row>
    <row r="19" spans="1:12" x14ac:dyDescent="0.35">
      <c r="A19" s="39" t="s">
        <v>6</v>
      </c>
      <c r="B19" s="21"/>
      <c r="C19" s="21">
        <f>SUM(C12:C14)</f>
        <v>1150</v>
      </c>
      <c r="D19" s="22"/>
      <c r="E19" s="23"/>
      <c r="F19" s="22"/>
      <c r="G19" s="22">
        <f>SUM(G11:G18)</f>
        <v>16500</v>
      </c>
      <c r="H19" s="22">
        <f>SUM(H11:H18)</f>
        <v>198000</v>
      </c>
      <c r="I19" s="22"/>
      <c r="J19" s="21"/>
      <c r="K19" s="22">
        <f>SUM(K11:K18)</f>
        <v>749400</v>
      </c>
      <c r="L19" s="96">
        <f>SUM(L11:L18)</f>
        <v>785000</v>
      </c>
    </row>
    <row r="20" spans="1:12" x14ac:dyDescent="0.35">
      <c r="A20" s="30"/>
      <c r="B20" s="31"/>
      <c r="C20" s="31"/>
      <c r="D20" s="40"/>
      <c r="E20" s="40"/>
      <c r="F20" s="40"/>
      <c r="G20" s="40"/>
      <c r="H20" s="40"/>
      <c r="I20" s="40"/>
      <c r="J20" s="31"/>
      <c r="K20" s="31"/>
      <c r="L20" s="32"/>
    </row>
    <row r="21" spans="1:12" x14ac:dyDescent="0.35">
      <c r="A21" s="5" t="s">
        <v>115</v>
      </c>
      <c r="B21" s="6">
        <v>5500</v>
      </c>
      <c r="C21" s="31"/>
      <c r="D21" s="40"/>
      <c r="E21" s="40"/>
      <c r="F21" s="40"/>
      <c r="G21" s="40"/>
      <c r="H21" s="40"/>
      <c r="I21" s="40"/>
      <c r="J21" s="31"/>
      <c r="K21" s="31"/>
      <c r="L21" s="32"/>
    </row>
    <row r="22" spans="1:12" x14ac:dyDescent="0.35">
      <c r="A22" s="5"/>
      <c r="B22" s="5"/>
      <c r="C22" s="31"/>
      <c r="D22" s="40"/>
      <c r="E22" s="40"/>
      <c r="F22" s="40"/>
      <c r="G22" s="40"/>
      <c r="H22" s="40"/>
      <c r="I22" s="40"/>
      <c r="J22" s="31"/>
      <c r="K22" s="31"/>
      <c r="L22" s="32"/>
    </row>
    <row r="23" spans="1:12" x14ac:dyDescent="0.35">
      <c r="A23" s="5" t="s">
        <v>7</v>
      </c>
      <c r="B23" s="6">
        <v>10</v>
      </c>
      <c r="C23" s="31"/>
      <c r="D23" s="40"/>
      <c r="E23" s="40"/>
      <c r="F23" s="40"/>
      <c r="G23" s="40"/>
      <c r="H23" s="40"/>
      <c r="I23" s="40"/>
      <c r="J23" s="31"/>
      <c r="K23" s="31"/>
      <c r="L23" s="32"/>
    </row>
    <row r="24" spans="1:12" s="3" customFormat="1" ht="43.5" x14ac:dyDescent="0.35">
      <c r="A24" s="33" t="s">
        <v>3</v>
      </c>
      <c r="B24" s="26" t="s">
        <v>32</v>
      </c>
      <c r="C24" s="26" t="s">
        <v>23</v>
      </c>
      <c r="D24" s="26" t="s">
        <v>19</v>
      </c>
      <c r="E24" s="26"/>
      <c r="F24" s="26" t="s">
        <v>28</v>
      </c>
      <c r="G24" s="26" t="s">
        <v>27</v>
      </c>
      <c r="H24" s="26" t="s">
        <v>26</v>
      </c>
      <c r="I24" s="26"/>
      <c r="J24" s="26" t="s">
        <v>24</v>
      </c>
      <c r="K24" s="26" t="s">
        <v>25</v>
      </c>
      <c r="L24" s="34" t="s">
        <v>12</v>
      </c>
    </row>
    <row r="25" spans="1:12" x14ac:dyDescent="0.35">
      <c r="A25" s="37" t="s">
        <v>29</v>
      </c>
      <c r="B25" s="6">
        <v>25</v>
      </c>
      <c r="C25" s="5">
        <f>SUM(B25*$B$23)</f>
        <v>250</v>
      </c>
      <c r="D25" s="7">
        <f>SUM(C25*30)</f>
        <v>7500</v>
      </c>
      <c r="E25" s="5"/>
      <c r="F25" s="8">
        <f>SUM(C25*$D$11)</f>
        <v>3000</v>
      </c>
      <c r="G25" s="8">
        <f>SUM(F25*30)</f>
        <v>90000</v>
      </c>
      <c r="H25" s="24">
        <f>SUM(F25*365)</f>
        <v>1095000</v>
      </c>
      <c r="I25" s="24"/>
      <c r="J25" s="9">
        <f>SUM((D25-((C12*E12)+(E13*C13))))</f>
        <v>4500</v>
      </c>
      <c r="K25" s="8">
        <f>SUM(J25*D11)</f>
        <v>54000</v>
      </c>
      <c r="L25" s="41">
        <f>SUM(K25*12)</f>
        <v>648000</v>
      </c>
    </row>
    <row r="26" spans="1:12" x14ac:dyDescent="0.35">
      <c r="A26" s="37" t="s">
        <v>30</v>
      </c>
      <c r="B26" s="6">
        <v>3</v>
      </c>
      <c r="C26" s="5">
        <f>SUM(B26*$B$23)</f>
        <v>30</v>
      </c>
      <c r="D26" s="7">
        <f t="shared" ref="D26" si="4">SUM(C26*30)</f>
        <v>900</v>
      </c>
      <c r="E26" s="5"/>
      <c r="F26" s="8">
        <f>SUM(C26*$D$16)</f>
        <v>3000</v>
      </c>
      <c r="G26" s="8">
        <f t="shared" ref="G26:G29" si="5">SUM(F26*30)</f>
        <v>90000</v>
      </c>
      <c r="H26" s="24">
        <f t="shared" ref="H26:H29" si="6">SUM(F26*365)</f>
        <v>1095000</v>
      </c>
      <c r="I26" s="24"/>
      <c r="J26" s="9">
        <f>SUM(D26-(C14*E14))</f>
        <v>0</v>
      </c>
      <c r="K26" s="8">
        <f>SUM(J26*D16)</f>
        <v>0</v>
      </c>
      <c r="L26" s="41">
        <f>SUM(K26*12)</f>
        <v>0</v>
      </c>
    </row>
    <row r="27" spans="1:12" x14ac:dyDescent="0.35">
      <c r="A27" s="37"/>
      <c r="B27" s="5"/>
      <c r="C27" s="5"/>
      <c r="D27" s="7"/>
      <c r="E27" s="5"/>
      <c r="F27" s="8"/>
      <c r="G27" s="8"/>
      <c r="H27" s="24"/>
      <c r="I27" s="24"/>
      <c r="J27" s="5"/>
      <c r="K27" s="5"/>
      <c r="L27" s="41"/>
    </row>
    <row r="28" spans="1:12" x14ac:dyDescent="0.35">
      <c r="A28" s="37"/>
      <c r="B28" s="5"/>
      <c r="C28" s="5"/>
      <c r="D28" s="7"/>
      <c r="E28" s="5"/>
      <c r="F28" s="8"/>
      <c r="G28" s="8"/>
      <c r="H28" s="24"/>
      <c r="I28" s="24"/>
      <c r="J28" s="5"/>
      <c r="K28" s="7"/>
      <c r="L28" s="41"/>
    </row>
    <row r="29" spans="1:12" x14ac:dyDescent="0.35">
      <c r="A29" s="37" t="s">
        <v>31</v>
      </c>
      <c r="B29" s="6">
        <v>1</v>
      </c>
      <c r="C29" s="5">
        <f>SUM(B29*$B$23)</f>
        <v>10</v>
      </c>
      <c r="D29" s="7">
        <f>SUM(C29*30)</f>
        <v>300</v>
      </c>
      <c r="E29" s="5"/>
      <c r="F29" s="8">
        <f>SUM(C29*D17)</f>
        <v>1000</v>
      </c>
      <c r="G29" s="8">
        <f t="shared" si="5"/>
        <v>30000</v>
      </c>
      <c r="H29" s="24">
        <f t="shared" si="6"/>
        <v>365000</v>
      </c>
      <c r="I29" s="24"/>
      <c r="J29" s="9">
        <f>SUM(D29-(C18*E18))</f>
        <v>150</v>
      </c>
      <c r="K29" s="8">
        <f>SUM(J29*D17)</f>
        <v>15000</v>
      </c>
      <c r="L29" s="41">
        <f>SUM(K29*12)</f>
        <v>180000</v>
      </c>
    </row>
    <row r="30" spans="1:12" x14ac:dyDescent="0.35">
      <c r="A30" s="37"/>
      <c r="B30" s="5"/>
      <c r="C30" s="5"/>
      <c r="D30" s="7"/>
      <c r="E30" s="5"/>
      <c r="F30" s="5"/>
      <c r="G30" s="5"/>
      <c r="H30" s="25"/>
      <c r="I30" s="25"/>
      <c r="J30" s="5"/>
      <c r="K30" s="5"/>
      <c r="L30" s="38"/>
    </row>
    <row r="31" spans="1:12" x14ac:dyDescent="0.35">
      <c r="A31" s="37"/>
      <c r="B31" s="5"/>
      <c r="C31" s="5"/>
      <c r="D31" s="7"/>
      <c r="E31" s="5"/>
      <c r="F31" s="5"/>
      <c r="G31" s="5"/>
      <c r="H31" s="25"/>
      <c r="I31" s="25"/>
      <c r="J31" s="5"/>
      <c r="K31" s="5"/>
      <c r="L31" s="38"/>
    </row>
    <row r="32" spans="1:12" s="2" customFormat="1" x14ac:dyDescent="0.35">
      <c r="A32" s="42" t="s">
        <v>8</v>
      </c>
      <c r="B32" s="10"/>
      <c r="C32" s="10"/>
      <c r="D32" s="11"/>
      <c r="E32" s="10"/>
      <c r="F32" s="12">
        <f>SUM(F25:F29)</f>
        <v>7000</v>
      </c>
      <c r="G32" s="12">
        <f>SUM(G25:G29)</f>
        <v>210000</v>
      </c>
      <c r="H32" s="12">
        <f>SUM(H25:H29)</f>
        <v>2555000</v>
      </c>
      <c r="I32" s="12"/>
      <c r="J32" s="10"/>
      <c r="K32" s="10"/>
      <c r="L32" s="96">
        <f>SUM(L25:L29)</f>
        <v>828000</v>
      </c>
    </row>
    <row r="33" spans="1:12" x14ac:dyDescent="0.3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1:12" x14ac:dyDescent="0.3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 x14ac:dyDescent="0.35">
      <c r="A35" s="43" t="s">
        <v>13</v>
      </c>
      <c r="B35" s="31"/>
      <c r="C35" s="31"/>
      <c r="D35" s="31"/>
      <c r="E35" s="31"/>
      <c r="F35" s="31"/>
      <c r="G35" s="44" t="s">
        <v>14</v>
      </c>
      <c r="H35" s="97">
        <f>SUM(H32)</f>
        <v>2555000</v>
      </c>
      <c r="I35" s="45"/>
      <c r="J35" s="44"/>
      <c r="K35" s="44" t="s">
        <v>15</v>
      </c>
      <c r="L35" s="98">
        <f>SUM(H19+K19+L32)</f>
        <v>1775400</v>
      </c>
    </row>
    <row r="36" spans="1:12" x14ac:dyDescent="0.3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44" t="s">
        <v>17</v>
      </c>
      <c r="L36" s="98">
        <f>SUM(L19+L35)</f>
        <v>2560400</v>
      </c>
    </row>
    <row r="37" spans="1:12" x14ac:dyDescent="0.3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/>
    </row>
    <row r="38" spans="1:12" x14ac:dyDescent="0.3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/>
    </row>
    <row r="39" spans="1:12" x14ac:dyDescent="0.3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</row>
    <row r="40" spans="1:12" x14ac:dyDescent="0.3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/>
    </row>
    <row r="41" spans="1:12" x14ac:dyDescent="0.3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/>
    </row>
    <row r="42" spans="1:12" x14ac:dyDescent="0.3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/>
    </row>
    <row r="43" spans="1:12" ht="15" thickBot="1" x14ac:dyDescent="0.4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</row>
  </sheetData>
  <protectedRanges>
    <protectedRange algorithmName="SHA-512" hashValue="H3fKmHt67OWmL2XwXjpl4JhRODTOErKeVIUGzxh/LO+6CvWkSYrcpjiBbKGbukEiJ0ARsmcBg/yqj9rZ3tzXEA==" saltValue="Gtl9tV29EEp2twvLGOEARg==" spinCount="100000" sqref="B21:B29" name="Range3"/>
    <protectedRange algorithmName="SHA-512" hashValue="fQEP8OpXYjE5jPc0R+9ayJ2mOBEZ8tyzQHIwIdwOzaomt+lZ27EDEYSMw4a1NFPTJ8M+Fyq+jZ4A85A0J1PS9g==" saltValue="ycqOPuZrZNUuX2uocDSy0Q==" spinCount="100000" sqref="J12:J14" name="Range2"/>
    <protectedRange algorithmName="SHA-512" hashValue="SMAiSuySBebe6gKGuVvy52xUh8yekwfFWtc1/uBMQVtu/z9ahMbhJHAUQqs51kVarnQ1ibbFUeMw3G0q/y6+uA==" saltValue="N+HY8IwLxAcJBatYpvPYBg==" spinCount="100000" sqref="B11:E18" name="Range1"/>
  </protectedRange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4" workbookViewId="0">
      <selection activeCell="B34" sqref="B34"/>
    </sheetView>
  </sheetViews>
  <sheetFormatPr defaultRowHeight="14.5" x14ac:dyDescent="0.35"/>
  <cols>
    <col min="1" max="1" width="21.453125" customWidth="1"/>
    <col min="2" max="2" width="18.90625" customWidth="1"/>
    <col min="3" max="3" width="15.1796875" customWidth="1"/>
    <col min="4" max="4" width="15.6328125" customWidth="1"/>
    <col min="5" max="5" width="15" customWidth="1"/>
    <col min="6" max="6" width="10.54296875" customWidth="1"/>
    <col min="7" max="7" width="14.36328125" customWidth="1"/>
    <col min="8" max="8" width="15.453125" customWidth="1"/>
    <col min="9" max="9" width="15.54296875" customWidth="1"/>
    <col min="10" max="10" width="18.08984375" customWidth="1"/>
  </cols>
  <sheetData>
    <row r="1" spans="1:18" x14ac:dyDescent="0.35">
      <c r="B1" s="49"/>
      <c r="C1" s="49"/>
      <c r="D1" s="49"/>
      <c r="E1" s="49"/>
      <c r="F1" s="49"/>
      <c r="G1" s="49"/>
      <c r="I1" s="49"/>
    </row>
    <row r="2" spans="1:18" x14ac:dyDescent="0.35">
      <c r="B2" s="49"/>
      <c r="C2" s="49"/>
      <c r="D2" s="49"/>
      <c r="E2" s="49"/>
      <c r="F2" s="49"/>
      <c r="G2" s="49"/>
      <c r="I2" s="49"/>
    </row>
    <row r="3" spans="1:18" x14ac:dyDescent="0.35">
      <c r="B3" s="49"/>
      <c r="C3" s="49"/>
      <c r="D3" s="49"/>
      <c r="E3" s="49"/>
      <c r="F3" s="49"/>
      <c r="G3" s="49"/>
      <c r="I3" s="49"/>
    </row>
    <row r="4" spans="1:18" x14ac:dyDescent="0.35">
      <c r="A4" s="50" t="s">
        <v>36</v>
      </c>
      <c r="B4" s="92">
        <f>SUM(Sheet1!B21)</f>
        <v>5500</v>
      </c>
      <c r="C4" s="49"/>
      <c r="D4" s="49"/>
      <c r="E4" s="49"/>
      <c r="F4" s="49"/>
      <c r="G4" s="49"/>
      <c r="I4" s="49"/>
    </row>
    <row r="5" spans="1:18" x14ac:dyDescent="0.35">
      <c r="A5" s="50" t="s">
        <v>37</v>
      </c>
      <c r="B5" s="51">
        <v>100</v>
      </c>
      <c r="C5" s="49"/>
      <c r="D5" s="49"/>
      <c r="E5" s="49"/>
      <c r="F5" s="49"/>
      <c r="G5" s="49"/>
      <c r="I5" s="49"/>
    </row>
    <row r="6" spans="1:18" x14ac:dyDescent="0.35">
      <c r="A6" s="50" t="s">
        <v>38</v>
      </c>
      <c r="B6" s="51">
        <f>SUM(B4*B5)</f>
        <v>550000</v>
      </c>
      <c r="C6" s="49"/>
      <c r="D6" s="49"/>
      <c r="E6" s="49"/>
      <c r="F6" s="49"/>
      <c r="G6" s="49"/>
      <c r="I6" s="49"/>
    </row>
    <row r="7" spans="1:18" x14ac:dyDescent="0.35">
      <c r="A7" s="50" t="s">
        <v>39</v>
      </c>
      <c r="B7" s="92">
        <f>SUM(Sheet1!B25)</f>
        <v>25</v>
      </c>
      <c r="C7" s="49"/>
      <c r="D7" s="49"/>
      <c r="E7" s="49"/>
      <c r="F7" s="49"/>
      <c r="G7" s="49"/>
      <c r="I7" s="49"/>
      <c r="K7" s="52"/>
      <c r="L7" s="52"/>
      <c r="M7" s="52"/>
      <c r="N7" s="52"/>
      <c r="O7" s="52"/>
      <c r="P7" s="52"/>
      <c r="Q7" s="52"/>
      <c r="R7" s="52"/>
    </row>
    <row r="8" spans="1:18" x14ac:dyDescent="0.35">
      <c r="B8" s="49"/>
      <c r="C8" s="49"/>
      <c r="D8" s="49"/>
      <c r="E8" s="49"/>
      <c r="F8" s="49"/>
      <c r="G8" s="49"/>
      <c r="I8" s="49"/>
      <c r="K8" s="52"/>
      <c r="L8" s="52"/>
      <c r="M8" s="52"/>
      <c r="N8" s="52"/>
      <c r="O8" s="52"/>
      <c r="P8" s="52"/>
      <c r="Q8" s="52"/>
      <c r="R8" s="52"/>
    </row>
    <row r="9" spans="1:18" ht="29" x14ac:dyDescent="0.35">
      <c r="A9" s="53" t="s">
        <v>40</v>
      </c>
      <c r="B9" s="54" t="s">
        <v>41</v>
      </c>
      <c r="C9" s="55" t="s">
        <v>124</v>
      </c>
      <c r="D9" s="54" t="s">
        <v>42</v>
      </c>
      <c r="E9" s="54" t="s">
        <v>43</v>
      </c>
      <c r="F9" s="55" t="s">
        <v>44</v>
      </c>
      <c r="G9" s="55" t="s">
        <v>45</v>
      </c>
      <c r="H9" s="55" t="s">
        <v>46</v>
      </c>
      <c r="I9" s="55" t="s">
        <v>47</v>
      </c>
      <c r="J9" s="55" t="s">
        <v>123</v>
      </c>
      <c r="K9" s="56"/>
      <c r="L9" s="52"/>
      <c r="M9" s="52"/>
      <c r="N9" s="52"/>
      <c r="O9" s="52"/>
      <c r="P9" s="52"/>
      <c r="Q9" s="52"/>
      <c r="R9" s="52"/>
    </row>
    <row r="10" spans="1:18" x14ac:dyDescent="0.35">
      <c r="A10" s="5" t="s">
        <v>48</v>
      </c>
      <c r="B10" s="57" t="s">
        <v>49</v>
      </c>
      <c r="C10" s="58">
        <v>35</v>
      </c>
      <c r="D10" s="57" t="s">
        <v>50</v>
      </c>
      <c r="E10" s="57" t="s">
        <v>51</v>
      </c>
      <c r="F10" s="59">
        <v>4</v>
      </c>
      <c r="G10" s="60">
        <f t="shared" ref="G10:G25" si="0">SUM($B$6/$C$27*$C10)</f>
        <v>192500</v>
      </c>
      <c r="H10" s="60">
        <f t="shared" ref="H10:H25" si="1">SUM(G10*E10/100)</f>
        <v>34650</v>
      </c>
      <c r="I10" s="60">
        <f t="shared" ref="I10:I25" si="2">SUM(G10*F10)</f>
        <v>770000</v>
      </c>
      <c r="J10" s="8">
        <f t="shared" ref="J10:J25" si="3">SUM(H10*F10)</f>
        <v>138600</v>
      </c>
      <c r="K10" s="52"/>
      <c r="L10" s="52"/>
      <c r="M10" s="52"/>
      <c r="N10" s="52"/>
      <c r="O10" s="52"/>
      <c r="P10" s="52"/>
      <c r="Q10" s="52"/>
      <c r="R10" s="52"/>
    </row>
    <row r="11" spans="1:18" x14ac:dyDescent="0.35">
      <c r="A11" s="5" t="s">
        <v>52</v>
      </c>
      <c r="B11" s="57" t="s">
        <v>53</v>
      </c>
      <c r="C11" s="58">
        <v>17</v>
      </c>
      <c r="D11" s="57" t="s">
        <v>53</v>
      </c>
      <c r="E11" s="57" t="s">
        <v>54</v>
      </c>
      <c r="F11" s="59">
        <v>3</v>
      </c>
      <c r="G11" s="60">
        <f t="shared" si="0"/>
        <v>93500</v>
      </c>
      <c r="H11" s="60">
        <f t="shared" si="1"/>
        <v>15895</v>
      </c>
      <c r="I11" s="60">
        <f t="shared" si="2"/>
        <v>280500</v>
      </c>
      <c r="J11" s="8">
        <f t="shared" si="3"/>
        <v>47685</v>
      </c>
      <c r="K11" s="52"/>
      <c r="L11" s="52"/>
      <c r="M11" s="52"/>
      <c r="N11" s="52"/>
      <c r="O11" s="52"/>
      <c r="P11" s="52"/>
      <c r="Q11" s="52"/>
      <c r="R11" s="52"/>
    </row>
    <row r="12" spans="1:18" x14ac:dyDescent="0.35">
      <c r="A12" s="5" t="s">
        <v>55</v>
      </c>
      <c r="B12" s="57" t="s">
        <v>56</v>
      </c>
      <c r="C12" s="58">
        <v>3</v>
      </c>
      <c r="D12" s="57" t="s">
        <v>57</v>
      </c>
      <c r="E12" s="57" t="s">
        <v>58</v>
      </c>
      <c r="F12" s="59">
        <v>1.5</v>
      </c>
      <c r="G12" s="60">
        <f t="shared" si="0"/>
        <v>16500</v>
      </c>
      <c r="H12" s="60">
        <f t="shared" si="1"/>
        <v>2475</v>
      </c>
      <c r="I12" s="60">
        <f t="shared" si="2"/>
        <v>24750</v>
      </c>
      <c r="J12" s="8">
        <f t="shared" si="3"/>
        <v>3712.5</v>
      </c>
      <c r="K12" s="52"/>
      <c r="L12" s="52"/>
      <c r="M12" s="52"/>
      <c r="N12" s="52"/>
      <c r="O12" s="52"/>
      <c r="P12" s="52"/>
      <c r="Q12" s="52"/>
      <c r="R12" s="52"/>
    </row>
    <row r="13" spans="1:18" x14ac:dyDescent="0.35">
      <c r="A13" s="5" t="s">
        <v>59</v>
      </c>
      <c r="B13" s="57" t="s">
        <v>60</v>
      </c>
      <c r="C13" s="58">
        <v>8</v>
      </c>
      <c r="D13" s="57" t="s">
        <v>61</v>
      </c>
      <c r="E13" s="57" t="s">
        <v>61</v>
      </c>
      <c r="F13" s="59">
        <v>3</v>
      </c>
      <c r="G13" s="60">
        <f>SUM($B$6/$C$27*$C13)</f>
        <v>44000</v>
      </c>
      <c r="H13" s="60">
        <f t="shared" si="1"/>
        <v>13200</v>
      </c>
      <c r="I13" s="60">
        <f t="shared" si="2"/>
        <v>132000</v>
      </c>
      <c r="J13" s="8">
        <f t="shared" si="3"/>
        <v>39600</v>
      </c>
      <c r="K13" s="52"/>
      <c r="L13" s="52"/>
      <c r="M13" s="52"/>
      <c r="N13" s="52"/>
      <c r="O13" s="52"/>
      <c r="P13" s="52"/>
      <c r="Q13" s="52"/>
      <c r="R13" s="52"/>
    </row>
    <row r="14" spans="1:18" x14ac:dyDescent="0.35">
      <c r="A14" s="5" t="s">
        <v>62</v>
      </c>
      <c r="B14" s="57">
        <v>1</v>
      </c>
      <c r="C14" s="58">
        <v>1</v>
      </c>
      <c r="D14" s="57" t="s">
        <v>63</v>
      </c>
      <c r="E14" s="57" t="s">
        <v>63</v>
      </c>
      <c r="F14" s="59">
        <v>4</v>
      </c>
      <c r="G14" s="60">
        <f t="shared" si="0"/>
        <v>5500</v>
      </c>
      <c r="H14" s="60">
        <f t="shared" si="1"/>
        <v>2200</v>
      </c>
      <c r="I14" s="60">
        <f t="shared" si="2"/>
        <v>22000</v>
      </c>
      <c r="J14" s="8">
        <f t="shared" si="3"/>
        <v>8800</v>
      </c>
      <c r="K14" s="52"/>
      <c r="L14" s="52"/>
      <c r="M14" s="52"/>
      <c r="N14" s="52"/>
      <c r="O14" s="52"/>
      <c r="P14" s="52"/>
      <c r="Q14" s="52"/>
      <c r="R14" s="52"/>
    </row>
    <row r="15" spans="1:18" x14ac:dyDescent="0.35">
      <c r="A15" s="5" t="s">
        <v>64</v>
      </c>
      <c r="B15" s="57" t="s">
        <v>65</v>
      </c>
      <c r="C15" s="58">
        <v>4</v>
      </c>
      <c r="D15" s="57" t="s">
        <v>66</v>
      </c>
      <c r="E15" s="57" t="s">
        <v>66</v>
      </c>
      <c r="F15" s="59">
        <v>2</v>
      </c>
      <c r="G15" s="60">
        <f t="shared" si="0"/>
        <v>22000</v>
      </c>
      <c r="H15" s="60">
        <f t="shared" si="1"/>
        <v>5500</v>
      </c>
      <c r="I15" s="60">
        <f t="shared" si="2"/>
        <v>44000</v>
      </c>
      <c r="J15" s="8">
        <f t="shared" si="3"/>
        <v>11000</v>
      </c>
      <c r="K15" s="52"/>
      <c r="L15" s="52"/>
      <c r="M15" s="52"/>
      <c r="N15" s="52"/>
      <c r="O15" s="52"/>
      <c r="P15" s="52"/>
      <c r="Q15" s="52"/>
      <c r="R15" s="52"/>
    </row>
    <row r="16" spans="1:18" x14ac:dyDescent="0.35">
      <c r="A16" s="5" t="s">
        <v>67</v>
      </c>
      <c r="B16" s="57" t="s">
        <v>68</v>
      </c>
      <c r="C16" s="58">
        <v>13</v>
      </c>
      <c r="D16" s="57" t="s">
        <v>49</v>
      </c>
      <c r="E16" s="57" t="s">
        <v>69</v>
      </c>
      <c r="F16" s="59">
        <v>2</v>
      </c>
      <c r="G16" s="60">
        <f t="shared" si="0"/>
        <v>71500</v>
      </c>
      <c r="H16" s="60">
        <f t="shared" si="1"/>
        <v>25025</v>
      </c>
      <c r="I16" s="60">
        <f t="shared" si="2"/>
        <v>143000</v>
      </c>
      <c r="J16" s="8">
        <f t="shared" si="3"/>
        <v>50050</v>
      </c>
      <c r="K16" s="52"/>
      <c r="L16" s="52"/>
      <c r="M16" s="52"/>
      <c r="N16" s="52"/>
      <c r="O16" s="52"/>
      <c r="P16" s="52"/>
      <c r="Q16" s="52"/>
      <c r="R16" s="52"/>
    </row>
    <row r="17" spans="1:18" x14ac:dyDescent="0.35">
      <c r="A17" s="5" t="s">
        <v>70</v>
      </c>
      <c r="B17" s="57" t="s">
        <v>71</v>
      </c>
      <c r="C17" s="58">
        <v>6</v>
      </c>
      <c r="D17" s="57" t="s">
        <v>72</v>
      </c>
      <c r="E17" s="57" t="s">
        <v>73</v>
      </c>
      <c r="F17" s="59">
        <v>2</v>
      </c>
      <c r="G17" s="60">
        <f t="shared" si="0"/>
        <v>33000</v>
      </c>
      <c r="H17" s="60">
        <f t="shared" si="1"/>
        <v>8910</v>
      </c>
      <c r="I17" s="60">
        <f t="shared" si="2"/>
        <v>66000</v>
      </c>
      <c r="J17" s="8">
        <f t="shared" si="3"/>
        <v>17820</v>
      </c>
      <c r="K17" s="52"/>
      <c r="L17" s="52"/>
      <c r="M17" s="52"/>
      <c r="N17" s="52"/>
      <c r="O17" s="52"/>
      <c r="P17" s="52"/>
      <c r="Q17" s="52"/>
      <c r="R17" s="52"/>
    </row>
    <row r="18" spans="1:18" x14ac:dyDescent="0.35">
      <c r="A18" s="5" t="s">
        <v>74</v>
      </c>
      <c r="B18" s="57" t="s">
        <v>75</v>
      </c>
      <c r="C18" s="58">
        <v>3</v>
      </c>
      <c r="D18" s="57" t="s">
        <v>76</v>
      </c>
      <c r="E18" s="57" t="s">
        <v>63</v>
      </c>
      <c r="F18" s="59">
        <v>6</v>
      </c>
      <c r="G18" s="60">
        <f t="shared" si="0"/>
        <v>16500</v>
      </c>
      <c r="H18" s="60">
        <f t="shared" si="1"/>
        <v>6600</v>
      </c>
      <c r="I18" s="60">
        <f t="shared" si="2"/>
        <v>99000</v>
      </c>
      <c r="J18" s="8">
        <f t="shared" si="3"/>
        <v>39600</v>
      </c>
      <c r="K18" s="52"/>
      <c r="L18" s="52"/>
      <c r="M18" s="52"/>
      <c r="N18" s="52"/>
      <c r="O18" s="52"/>
      <c r="P18" s="52"/>
      <c r="Q18" s="52"/>
      <c r="R18" s="52"/>
    </row>
    <row r="19" spans="1:18" x14ac:dyDescent="0.35">
      <c r="A19" s="5" t="s">
        <v>77</v>
      </c>
      <c r="B19" s="57" t="s">
        <v>78</v>
      </c>
      <c r="C19" s="58">
        <v>1</v>
      </c>
      <c r="D19" s="57" t="s">
        <v>79</v>
      </c>
      <c r="E19" s="57" t="s">
        <v>80</v>
      </c>
      <c r="F19" s="59">
        <v>2</v>
      </c>
      <c r="G19" s="60">
        <f t="shared" si="0"/>
        <v>5500</v>
      </c>
      <c r="H19" s="60">
        <f t="shared" si="1"/>
        <v>2365</v>
      </c>
      <c r="I19" s="60">
        <f t="shared" si="2"/>
        <v>11000</v>
      </c>
      <c r="J19" s="8">
        <f t="shared" si="3"/>
        <v>4730</v>
      </c>
      <c r="K19" s="52"/>
      <c r="L19" s="52"/>
      <c r="M19" s="52"/>
      <c r="N19" s="52"/>
      <c r="O19" s="52"/>
      <c r="P19" s="52"/>
      <c r="Q19" s="52"/>
      <c r="R19" s="52"/>
    </row>
    <row r="20" spans="1:18" x14ac:dyDescent="0.35">
      <c r="A20" s="5" t="s">
        <v>81</v>
      </c>
      <c r="B20" s="57" t="s">
        <v>78</v>
      </c>
      <c r="C20" s="58">
        <v>1</v>
      </c>
      <c r="D20" s="57" t="s">
        <v>82</v>
      </c>
      <c r="E20" s="57" t="s">
        <v>83</v>
      </c>
      <c r="F20" s="59">
        <v>1</v>
      </c>
      <c r="G20" s="60">
        <f t="shared" si="0"/>
        <v>5500</v>
      </c>
      <c r="H20" s="60">
        <f t="shared" si="1"/>
        <v>2475</v>
      </c>
      <c r="I20" s="60">
        <f t="shared" si="2"/>
        <v>5500</v>
      </c>
      <c r="J20" s="8">
        <f t="shared" si="3"/>
        <v>2475</v>
      </c>
      <c r="K20" s="52"/>
      <c r="L20" s="52"/>
      <c r="M20" s="52"/>
      <c r="N20" s="52"/>
      <c r="O20" s="52"/>
      <c r="P20" s="52"/>
      <c r="Q20" s="52"/>
      <c r="R20" s="52"/>
    </row>
    <row r="21" spans="1:18" x14ac:dyDescent="0.35">
      <c r="A21" s="5" t="s">
        <v>84</v>
      </c>
      <c r="B21" s="57" t="s">
        <v>78</v>
      </c>
      <c r="C21" s="58">
        <v>1</v>
      </c>
      <c r="D21" s="57" t="s">
        <v>61</v>
      </c>
      <c r="E21" s="57" t="s">
        <v>61</v>
      </c>
      <c r="F21" s="59">
        <v>1</v>
      </c>
      <c r="G21" s="60">
        <f t="shared" si="0"/>
        <v>5500</v>
      </c>
      <c r="H21" s="60">
        <f t="shared" si="1"/>
        <v>1650</v>
      </c>
      <c r="I21" s="60">
        <f t="shared" si="2"/>
        <v>5500</v>
      </c>
      <c r="J21" s="8">
        <f t="shared" si="3"/>
        <v>1650</v>
      </c>
      <c r="K21" s="52"/>
      <c r="L21" s="52"/>
      <c r="M21" s="52"/>
      <c r="N21" s="52"/>
      <c r="O21" s="52"/>
      <c r="P21" s="52"/>
      <c r="Q21" s="52"/>
      <c r="R21" s="52"/>
    </row>
    <row r="22" spans="1:18" x14ac:dyDescent="0.35">
      <c r="A22" s="5" t="s">
        <v>85</v>
      </c>
      <c r="B22" s="57" t="s">
        <v>78</v>
      </c>
      <c r="C22" s="58">
        <v>1</v>
      </c>
      <c r="D22" s="57" t="s">
        <v>82</v>
      </c>
      <c r="E22" s="57" t="s">
        <v>83</v>
      </c>
      <c r="F22" s="59">
        <v>2</v>
      </c>
      <c r="G22" s="60">
        <f t="shared" si="0"/>
        <v>5500</v>
      </c>
      <c r="H22" s="60">
        <f t="shared" si="1"/>
        <v>2475</v>
      </c>
      <c r="I22" s="60">
        <f t="shared" si="2"/>
        <v>11000</v>
      </c>
      <c r="J22" s="8">
        <f t="shared" si="3"/>
        <v>4950</v>
      </c>
      <c r="K22" s="52"/>
      <c r="L22" s="52"/>
      <c r="M22" s="52"/>
      <c r="N22" s="52"/>
      <c r="O22" s="52"/>
      <c r="P22" s="52"/>
      <c r="Q22" s="52"/>
      <c r="R22" s="52"/>
    </row>
    <row r="23" spans="1:18" x14ac:dyDescent="0.35">
      <c r="A23" s="5" t="s">
        <v>86</v>
      </c>
      <c r="B23" s="57" t="s">
        <v>87</v>
      </c>
      <c r="C23" s="58">
        <v>4</v>
      </c>
      <c r="D23" s="57" t="s">
        <v>88</v>
      </c>
      <c r="E23" s="57" t="s">
        <v>61</v>
      </c>
      <c r="F23" s="59">
        <v>1</v>
      </c>
      <c r="G23" s="60">
        <f t="shared" si="0"/>
        <v>22000</v>
      </c>
      <c r="H23" s="60">
        <f t="shared" si="1"/>
        <v>6600</v>
      </c>
      <c r="I23" s="60">
        <f t="shared" si="2"/>
        <v>22000</v>
      </c>
      <c r="J23" s="8">
        <f t="shared" si="3"/>
        <v>6600</v>
      </c>
      <c r="K23" s="52"/>
      <c r="L23" s="52"/>
      <c r="M23" s="52"/>
      <c r="N23" s="52"/>
      <c r="O23" s="52"/>
      <c r="P23" s="52"/>
      <c r="Q23" s="52"/>
      <c r="R23" s="52"/>
    </row>
    <row r="24" spans="1:18" x14ac:dyDescent="0.35">
      <c r="A24" s="5" t="s">
        <v>89</v>
      </c>
      <c r="B24" s="57" t="s">
        <v>78</v>
      </c>
      <c r="C24" s="58">
        <v>1</v>
      </c>
      <c r="D24" s="57" t="s">
        <v>90</v>
      </c>
      <c r="E24" s="57" t="s">
        <v>91</v>
      </c>
      <c r="F24" s="59">
        <v>1</v>
      </c>
      <c r="G24" s="60">
        <f t="shared" si="0"/>
        <v>5500</v>
      </c>
      <c r="H24" s="60">
        <f t="shared" si="1"/>
        <v>1265</v>
      </c>
      <c r="I24" s="60">
        <f t="shared" si="2"/>
        <v>5500</v>
      </c>
      <c r="J24" s="8">
        <f t="shared" si="3"/>
        <v>1265</v>
      </c>
      <c r="K24" s="52"/>
      <c r="L24" s="52"/>
      <c r="M24" s="52"/>
      <c r="N24" s="52"/>
      <c r="O24" s="52"/>
      <c r="P24" s="52"/>
      <c r="Q24" s="52"/>
      <c r="R24" s="52"/>
    </row>
    <row r="25" spans="1:18" x14ac:dyDescent="0.35">
      <c r="A25" s="5" t="s">
        <v>92</v>
      </c>
      <c r="B25" s="57" t="s">
        <v>78</v>
      </c>
      <c r="C25" s="58">
        <v>1</v>
      </c>
      <c r="D25" s="57" t="s">
        <v>49</v>
      </c>
      <c r="E25" s="57" t="s">
        <v>69</v>
      </c>
      <c r="F25" s="59">
        <v>2</v>
      </c>
      <c r="G25" s="60">
        <f t="shared" si="0"/>
        <v>5500</v>
      </c>
      <c r="H25" s="60">
        <f t="shared" si="1"/>
        <v>1925</v>
      </c>
      <c r="I25" s="60">
        <f t="shared" si="2"/>
        <v>11000</v>
      </c>
      <c r="J25" s="8">
        <f t="shared" si="3"/>
        <v>3850</v>
      </c>
      <c r="K25" s="52"/>
      <c r="L25" s="52"/>
      <c r="M25" s="52"/>
      <c r="N25" s="52"/>
      <c r="O25" s="52"/>
      <c r="P25" s="52"/>
      <c r="Q25" s="52"/>
      <c r="R25" s="52"/>
    </row>
    <row r="26" spans="1:18" x14ac:dyDescent="0.35">
      <c r="B26" s="61"/>
      <c r="C26" s="49"/>
      <c r="D26" s="61"/>
      <c r="E26" s="61"/>
      <c r="F26" s="49"/>
      <c r="G26" s="62"/>
      <c r="I26" s="62"/>
      <c r="K26" s="52"/>
      <c r="L26" s="52"/>
      <c r="M26" s="52"/>
      <c r="N26" s="52"/>
      <c r="O26" s="52"/>
      <c r="P26" s="52"/>
      <c r="Q26" s="52"/>
      <c r="R26" s="52"/>
    </row>
    <row r="27" spans="1:18" x14ac:dyDescent="0.35">
      <c r="A27" s="63" t="s">
        <v>93</v>
      </c>
      <c r="B27" s="64"/>
      <c r="C27" s="65">
        <f>SUM(C10:C26)</f>
        <v>100</v>
      </c>
      <c r="D27" s="64"/>
      <c r="E27" s="64"/>
      <c r="F27" s="64"/>
      <c r="G27" s="66">
        <f>SUM(G10:G25)</f>
        <v>550000</v>
      </c>
      <c r="H27" s="67"/>
      <c r="I27" s="68">
        <f>SUM(I10:I25)</f>
        <v>1652750</v>
      </c>
      <c r="J27" s="94">
        <f>SUM(J10:J25)</f>
        <v>382387.5</v>
      </c>
      <c r="K27" s="52"/>
      <c r="L27" s="52"/>
      <c r="M27" s="52"/>
      <c r="N27" s="52"/>
      <c r="O27" s="52"/>
      <c r="P27" s="52"/>
      <c r="Q27" s="52"/>
      <c r="R27" s="52"/>
    </row>
    <row r="28" spans="1:18" x14ac:dyDescent="0.35">
      <c r="A28" s="69" t="s">
        <v>94</v>
      </c>
      <c r="B28" s="70"/>
      <c r="C28" s="70"/>
      <c r="D28" s="70"/>
      <c r="E28" s="70"/>
      <c r="F28" s="70"/>
      <c r="G28" s="70"/>
      <c r="H28" s="71"/>
      <c r="I28" s="72">
        <f>SUM(1/((I27+J27)/J27))</f>
        <v>0.18789270995203025</v>
      </c>
      <c r="J28" s="73"/>
    </row>
    <row r="29" spans="1:18" x14ac:dyDescent="0.35">
      <c r="A29" s="74"/>
      <c r="B29" s="75"/>
      <c r="C29" s="75"/>
      <c r="D29" s="75"/>
      <c r="E29" s="75"/>
      <c r="F29" s="75"/>
      <c r="G29" s="75"/>
      <c r="H29" s="76"/>
      <c r="I29" s="77"/>
      <c r="J29" s="78"/>
      <c r="K29" s="52"/>
    </row>
    <row r="30" spans="1:18" x14ac:dyDescent="0.35">
      <c r="A30" s="74"/>
      <c r="B30" s="75"/>
      <c r="C30" s="75"/>
      <c r="D30" s="75"/>
      <c r="E30" s="75"/>
      <c r="F30" s="75"/>
      <c r="G30" s="75"/>
      <c r="H30" s="76"/>
      <c r="I30" s="77"/>
      <c r="J30" s="78"/>
      <c r="K30" s="52"/>
    </row>
    <row r="31" spans="1:18" x14ac:dyDescent="0.35">
      <c r="A31" s="74"/>
      <c r="B31" s="75"/>
      <c r="C31" s="75"/>
      <c r="D31" s="75"/>
      <c r="E31" s="75"/>
      <c r="F31" s="75"/>
      <c r="G31" s="75"/>
      <c r="H31" s="76"/>
      <c r="I31" s="77"/>
      <c r="J31" s="78"/>
      <c r="K31" s="52"/>
    </row>
    <row r="32" spans="1:18" x14ac:dyDescent="0.35">
      <c r="B32" s="49"/>
      <c r="C32" s="49"/>
      <c r="D32" s="49"/>
      <c r="E32" s="49"/>
      <c r="F32" s="49"/>
      <c r="G32" s="49"/>
      <c r="I32" s="49"/>
    </row>
    <row r="33" spans="1:13" x14ac:dyDescent="0.35">
      <c r="B33" s="49"/>
      <c r="C33" s="49"/>
      <c r="D33" s="49"/>
      <c r="E33" s="49"/>
      <c r="F33" s="49"/>
      <c r="G33" s="49"/>
      <c r="I33" s="49"/>
    </row>
    <row r="34" spans="1:13" x14ac:dyDescent="0.35">
      <c r="A34" t="s">
        <v>125</v>
      </c>
      <c r="B34" s="106">
        <v>60</v>
      </c>
      <c r="C34" s="49"/>
      <c r="D34" s="49"/>
      <c r="E34" s="49"/>
      <c r="F34" s="49"/>
      <c r="G34" s="49"/>
      <c r="I34" s="49"/>
    </row>
    <row r="35" spans="1:13" x14ac:dyDescent="0.35">
      <c r="A35" s="79" t="s">
        <v>95</v>
      </c>
      <c r="B35" s="59"/>
      <c r="C35" s="59"/>
      <c r="D35" s="59"/>
      <c r="E35" s="59"/>
      <c r="F35" s="59"/>
      <c r="G35" s="59"/>
      <c r="H35" s="5"/>
      <c r="I35" s="59"/>
    </row>
    <row r="36" spans="1:13" s="90" customFormat="1" ht="72.5" x14ac:dyDescent="0.35">
      <c r="A36" s="55" t="s">
        <v>96</v>
      </c>
      <c r="B36" s="55" t="s">
        <v>120</v>
      </c>
      <c r="C36" s="55" t="s">
        <v>97</v>
      </c>
      <c r="D36" s="55" t="s">
        <v>98</v>
      </c>
      <c r="E36" s="55" t="s">
        <v>99</v>
      </c>
      <c r="F36" s="55" t="s">
        <v>100</v>
      </c>
      <c r="G36" s="55" t="s">
        <v>101</v>
      </c>
      <c r="H36" s="55" t="s">
        <v>102</v>
      </c>
      <c r="I36" s="55" t="s">
        <v>103</v>
      </c>
    </row>
    <row r="37" spans="1:13" x14ac:dyDescent="0.35">
      <c r="A37" s="80">
        <v>380</v>
      </c>
      <c r="B37" s="81">
        <f>SUM(B34*0.215)</f>
        <v>12.9</v>
      </c>
      <c r="C37" s="58">
        <f>SUM(B37*$B$47)</f>
        <v>264.45</v>
      </c>
      <c r="D37" s="82">
        <v>16</v>
      </c>
      <c r="E37" s="59">
        <v>30</v>
      </c>
      <c r="F37" s="83">
        <f>SUM((D37*C37)*(100-E37)/100)</f>
        <v>2961.84</v>
      </c>
      <c r="G37" s="83">
        <f>SUM((C37*D37)*(E37)/100)</f>
        <v>1269.3599999999999</v>
      </c>
      <c r="H37" s="84">
        <f>SUM(F37*12)</f>
        <v>35542.080000000002</v>
      </c>
      <c r="I37" s="83">
        <f>SUM(G37*12)</f>
        <v>15232.32</v>
      </c>
    </row>
    <row r="38" spans="1:13" x14ac:dyDescent="0.35">
      <c r="A38" s="80" t="s">
        <v>104</v>
      </c>
      <c r="B38" s="81">
        <f>SUM(B34*0.205)</f>
        <v>12.299999999999999</v>
      </c>
      <c r="C38" s="58">
        <f t="shared" ref="C38:C41" si="4">SUM(B38*$B$47)</f>
        <v>252.14999999999998</v>
      </c>
      <c r="D38" s="82">
        <v>17</v>
      </c>
      <c r="E38" s="59">
        <v>30</v>
      </c>
      <c r="F38" s="83">
        <f t="shared" ref="F38:F41" si="5">SUM((D38*C38)*(100-E38)/100)</f>
        <v>3000.5849999999996</v>
      </c>
      <c r="G38" s="83">
        <f t="shared" ref="G38:G41" si="6">SUM((C38*D38)*(E38)/100)</f>
        <v>1285.9649999999997</v>
      </c>
      <c r="H38" s="84">
        <f t="shared" ref="H38:H41" si="7">SUM(F38*12)</f>
        <v>36007.019999999997</v>
      </c>
      <c r="I38" s="83">
        <f t="shared" ref="I38:I41" si="8">SUM(G38*12)</f>
        <v>15431.579999999996</v>
      </c>
    </row>
    <row r="39" spans="1:13" x14ac:dyDescent="0.35">
      <c r="A39" s="80" t="s">
        <v>105</v>
      </c>
      <c r="B39" s="81">
        <f>SUM(B34)</f>
        <v>60</v>
      </c>
      <c r="C39" s="58">
        <f t="shared" si="4"/>
        <v>1230</v>
      </c>
      <c r="D39" s="82">
        <v>14</v>
      </c>
      <c r="E39" s="59">
        <v>30</v>
      </c>
      <c r="F39" s="83">
        <f t="shared" si="5"/>
        <v>12054</v>
      </c>
      <c r="G39" s="83">
        <f t="shared" si="6"/>
        <v>5166</v>
      </c>
      <c r="H39" s="84">
        <f t="shared" si="7"/>
        <v>144648</v>
      </c>
      <c r="I39" s="83">
        <f t="shared" si="8"/>
        <v>61992</v>
      </c>
      <c r="M39" s="85"/>
    </row>
    <row r="40" spans="1:13" x14ac:dyDescent="0.35">
      <c r="A40" s="80" t="s">
        <v>106</v>
      </c>
      <c r="B40" s="81">
        <f>SUM(B34*0.441)</f>
        <v>26.46</v>
      </c>
      <c r="C40" s="58">
        <f t="shared" si="4"/>
        <v>542.43000000000006</v>
      </c>
      <c r="D40" s="82">
        <v>17</v>
      </c>
      <c r="E40" s="59">
        <v>30</v>
      </c>
      <c r="F40" s="83">
        <f t="shared" si="5"/>
        <v>6454.9170000000004</v>
      </c>
      <c r="G40" s="83">
        <f t="shared" si="6"/>
        <v>2766.3930000000005</v>
      </c>
      <c r="H40" s="84">
        <f t="shared" si="7"/>
        <v>77459.004000000001</v>
      </c>
      <c r="I40" s="83">
        <f t="shared" si="8"/>
        <v>33196.716000000008</v>
      </c>
    </row>
    <row r="41" spans="1:13" x14ac:dyDescent="0.35">
      <c r="A41" s="80" t="s">
        <v>107</v>
      </c>
      <c r="B41" s="81">
        <f>SUM(B34*0.477)</f>
        <v>28.619999999999997</v>
      </c>
      <c r="C41" s="58">
        <f t="shared" si="4"/>
        <v>586.70999999999992</v>
      </c>
      <c r="D41" s="82">
        <v>20</v>
      </c>
      <c r="E41" s="59">
        <v>30</v>
      </c>
      <c r="F41" s="83">
        <f t="shared" si="5"/>
        <v>8213.9399999999987</v>
      </c>
      <c r="G41" s="83">
        <f t="shared" si="6"/>
        <v>3520.2599999999993</v>
      </c>
      <c r="H41" s="84">
        <f t="shared" si="7"/>
        <v>98567.279999999984</v>
      </c>
      <c r="I41" s="83">
        <f t="shared" si="8"/>
        <v>42243.119999999995</v>
      </c>
    </row>
    <row r="42" spans="1:13" x14ac:dyDescent="0.35">
      <c r="A42" s="86" t="s">
        <v>108</v>
      </c>
      <c r="B42" s="87">
        <f>SUM(B37:B41)</f>
        <v>140.28</v>
      </c>
      <c r="C42" s="88">
        <f>SUM(C37:C41)</f>
        <v>2875.74</v>
      </c>
      <c r="D42" s="59"/>
      <c r="E42" s="59"/>
      <c r="F42" s="59"/>
      <c r="G42" s="59"/>
      <c r="H42" s="5"/>
      <c r="I42" s="59"/>
    </row>
    <row r="43" spans="1:13" x14ac:dyDescent="0.35">
      <c r="A43" s="63" t="s">
        <v>93</v>
      </c>
      <c r="B43" s="59"/>
      <c r="C43" s="59"/>
      <c r="D43" s="59"/>
      <c r="E43" s="59"/>
      <c r="F43" s="83">
        <f>SUM(F37:F42)</f>
        <v>32685.281999999999</v>
      </c>
      <c r="G43" s="83">
        <f>SUM(G37:G41)</f>
        <v>14007.977999999999</v>
      </c>
      <c r="H43" s="89">
        <f>SUM(H37:H42)</f>
        <v>392223.38399999996</v>
      </c>
      <c r="I43" s="93">
        <f>SUM(I37:I42)</f>
        <v>168095.736</v>
      </c>
    </row>
    <row r="44" spans="1:13" x14ac:dyDescent="0.35">
      <c r="A44" s="69" t="s">
        <v>94</v>
      </c>
      <c r="B44" s="59"/>
      <c r="C44" s="59"/>
      <c r="D44" s="59"/>
      <c r="E44" s="59"/>
      <c r="F44" s="59"/>
      <c r="G44" s="59"/>
      <c r="H44" s="72">
        <f>SUM(1/((H43+I43)/I43))</f>
        <v>0.30000000000000004</v>
      </c>
      <c r="I44" s="59"/>
    </row>
    <row r="45" spans="1:13" s="52" customFormat="1" x14ac:dyDescent="0.35">
      <c r="A45" s="74"/>
      <c r="B45" s="75"/>
      <c r="C45" s="75"/>
      <c r="D45" s="75"/>
      <c r="E45" s="75"/>
      <c r="F45" s="75"/>
      <c r="G45" s="75"/>
      <c r="H45" s="77"/>
      <c r="I45" s="75"/>
    </row>
    <row r="46" spans="1:13" s="91" customFormat="1" ht="58" x14ac:dyDescent="0.35">
      <c r="A46" s="99" t="s">
        <v>116</v>
      </c>
      <c r="B46" s="100" t="s">
        <v>109</v>
      </c>
      <c r="C46" s="100" t="s">
        <v>110</v>
      </c>
      <c r="D46" s="100" t="s">
        <v>117</v>
      </c>
      <c r="E46" s="100" t="s">
        <v>118</v>
      </c>
      <c r="F46" s="100"/>
      <c r="G46" s="100"/>
      <c r="H46" s="99"/>
      <c r="I46" s="100"/>
    </row>
    <row r="47" spans="1:13" ht="15" thickBot="1" x14ac:dyDescent="0.4">
      <c r="A47" s="105">
        <v>82</v>
      </c>
      <c r="B47" s="59">
        <f>SUM(B7*A47/100)</f>
        <v>20.5</v>
      </c>
      <c r="C47" s="101">
        <f>SUM(B7-B47)</f>
        <v>4.5</v>
      </c>
      <c r="D47" s="58">
        <f>SUM(C42*50)</f>
        <v>143787</v>
      </c>
      <c r="E47" s="58">
        <f>SUM((D47/A47)*(100-A47))</f>
        <v>31563</v>
      </c>
      <c r="F47" s="49"/>
      <c r="G47" s="49"/>
      <c r="I47" s="49"/>
    </row>
    <row r="48" spans="1:13" ht="15.5" thickTop="1" thickBot="1" x14ac:dyDescent="0.4">
      <c r="A48" s="104">
        <f>SUM(100-A47)</f>
        <v>18</v>
      </c>
      <c r="B48" s="49"/>
      <c r="C48" s="49"/>
      <c r="D48" s="102">
        <f>SUM(D47/50)</f>
        <v>2875.74</v>
      </c>
      <c r="E48" s="102">
        <f>SUM(E47/20)</f>
        <v>1578.15</v>
      </c>
      <c r="F48" s="103" t="s">
        <v>121</v>
      </c>
      <c r="G48" s="49"/>
      <c r="I48" s="49"/>
    </row>
    <row r="49" spans="1:12" ht="15" thickTop="1" x14ac:dyDescent="0.35">
      <c r="A49" s="79" t="s">
        <v>95</v>
      </c>
      <c r="B49" s="59"/>
      <c r="C49" s="59"/>
      <c r="D49" s="59"/>
      <c r="E49" s="59"/>
      <c r="F49" s="59"/>
      <c r="G49" s="59"/>
      <c r="H49" s="5"/>
      <c r="I49" s="59"/>
    </row>
    <row r="50" spans="1:12" s="90" customFormat="1" ht="43.5" x14ac:dyDescent="0.35">
      <c r="A50" s="55" t="s">
        <v>96</v>
      </c>
      <c r="B50" s="55" t="s">
        <v>119</v>
      </c>
      <c r="C50" s="55" t="s">
        <v>111</v>
      </c>
      <c r="D50" s="55" t="s">
        <v>98</v>
      </c>
      <c r="E50" s="55" t="s">
        <v>99</v>
      </c>
      <c r="F50" s="55" t="s">
        <v>100</v>
      </c>
      <c r="G50" s="55" t="s">
        <v>101</v>
      </c>
      <c r="H50" s="55" t="s">
        <v>102</v>
      </c>
      <c r="I50" s="55" t="s">
        <v>103</v>
      </c>
    </row>
    <row r="51" spans="1:12" x14ac:dyDescent="0.35">
      <c r="A51" s="80" t="s">
        <v>112</v>
      </c>
      <c r="B51" s="81">
        <v>75</v>
      </c>
      <c r="C51" s="58">
        <f>SUM($E$48*B51/100)</f>
        <v>1183.6125</v>
      </c>
      <c r="D51" s="82">
        <v>8</v>
      </c>
      <c r="E51" s="59">
        <v>30</v>
      </c>
      <c r="F51" s="83">
        <f>SUM((D51*C51)*(100-E51)/100)</f>
        <v>6628.23</v>
      </c>
      <c r="G51" s="83">
        <f>SUM((C51*D51)*(E51)/100)</f>
        <v>2840.67</v>
      </c>
      <c r="H51" s="84">
        <f>SUM(F51*12)</f>
        <v>79538.759999999995</v>
      </c>
      <c r="I51" s="83">
        <f>SUM(G51*12)</f>
        <v>34088.04</v>
      </c>
      <c r="L51" s="95"/>
    </row>
    <row r="52" spans="1:12" x14ac:dyDescent="0.35">
      <c r="A52" s="80" t="s">
        <v>113</v>
      </c>
      <c r="B52" s="81">
        <v>15</v>
      </c>
      <c r="C52" s="58">
        <f t="shared" ref="C52:C53" si="9">SUM($E$48*B52/100)</f>
        <v>236.7225</v>
      </c>
      <c r="D52" s="82">
        <v>22</v>
      </c>
      <c r="E52" s="59">
        <v>30</v>
      </c>
      <c r="F52" s="83">
        <f t="shared" ref="F52:F53" si="10">SUM((D52*C52)*(100-E52)/100)</f>
        <v>3645.5264999999995</v>
      </c>
      <c r="G52" s="83">
        <f t="shared" ref="G52:G53" si="11">SUM((C52*D52)*(E52)/100)</f>
        <v>1562.3684999999998</v>
      </c>
      <c r="H52" s="84">
        <f t="shared" ref="H52:H53" si="12">SUM(F52*12)</f>
        <v>43746.317999999992</v>
      </c>
      <c r="I52" s="83">
        <f t="shared" ref="I52:I53" si="13">SUM(G52*12)</f>
        <v>18748.421999999999</v>
      </c>
    </row>
    <row r="53" spans="1:12" x14ac:dyDescent="0.35">
      <c r="A53" s="80" t="s">
        <v>114</v>
      </c>
      <c r="B53" s="81">
        <v>10</v>
      </c>
      <c r="C53" s="58">
        <f t="shared" si="9"/>
        <v>157.815</v>
      </c>
      <c r="D53" s="82">
        <v>32</v>
      </c>
      <c r="E53" s="59">
        <v>30</v>
      </c>
      <c r="F53" s="83">
        <f t="shared" si="10"/>
        <v>3535.0559999999996</v>
      </c>
      <c r="G53" s="83">
        <f t="shared" si="11"/>
        <v>1515.0239999999999</v>
      </c>
      <c r="H53" s="84">
        <f t="shared" si="12"/>
        <v>42420.671999999991</v>
      </c>
      <c r="I53" s="83">
        <f t="shared" si="13"/>
        <v>18180.288</v>
      </c>
    </row>
    <row r="54" spans="1:12" x14ac:dyDescent="0.35">
      <c r="A54" s="86" t="s">
        <v>108</v>
      </c>
      <c r="B54" s="87">
        <f>SUM(B51:B53)</f>
        <v>100</v>
      </c>
      <c r="C54" s="88">
        <f>SUM(C51:C53)</f>
        <v>1578.15</v>
      </c>
      <c r="D54" s="59"/>
      <c r="E54" s="59"/>
      <c r="F54" s="59"/>
      <c r="G54" s="59"/>
      <c r="H54" s="5"/>
      <c r="I54" s="59"/>
    </row>
    <row r="55" spans="1:12" x14ac:dyDescent="0.35">
      <c r="A55" s="63" t="s">
        <v>93</v>
      </c>
      <c r="B55" s="59"/>
      <c r="C55" s="59"/>
      <c r="D55" s="59"/>
      <c r="E55" s="59"/>
      <c r="F55" s="83">
        <f>SUM(F51:F54)</f>
        <v>13808.8125</v>
      </c>
      <c r="G55" s="59"/>
      <c r="H55" s="89">
        <f>SUM(H51:H54)</f>
        <v>165705.74999999997</v>
      </c>
      <c r="I55" s="93">
        <f>SUM(I51:I54)</f>
        <v>71016.75</v>
      </c>
    </row>
    <row r="56" spans="1:12" x14ac:dyDescent="0.35">
      <c r="A56" s="69" t="s">
        <v>94</v>
      </c>
      <c r="B56" s="59"/>
      <c r="C56" s="59"/>
      <c r="D56" s="59"/>
      <c r="E56" s="59"/>
      <c r="F56" s="59"/>
      <c r="G56" s="59"/>
      <c r="H56" s="72">
        <f>SUM(1/((H55+I55)/I55))</f>
        <v>0.30000000000000004</v>
      </c>
      <c r="I56" s="59"/>
    </row>
  </sheetData>
  <protectedRanges>
    <protectedRange algorithmName="SHA-512" hashValue="SZuaLViGxobPCfnHSxOzcdUH0GixO16T3QLWPEq7OZrsILTmX+BL22JKWNpgxBtMWmVWZiHTingNjcTz+lkadQ==" saltValue="o5vGS+yj6958L81oHKt44w==" spinCount="100000" sqref="D51:D53" name="Range4"/>
    <protectedRange algorithmName="SHA-512" hashValue="sFJjdnkt8Sh9lEkz+bbIkjfDwcshqZ+2gWshNY71sspGNUiAD0MUssAKzuWaM4JhtoZtTon8Ib8ElWCF73GIXg==" saltValue="0BGQ617aAu+iGo3mglma7w==" spinCount="100000" sqref="A47" name="Range3"/>
    <protectedRange algorithmName="SHA-512" hashValue="3N1fPt/StpBA5WTYhljnk4ugHRNPS7DBXlH8Wma/OxSNQpP2OBqFRouXeciNFJcKH+vNYQti+uGUg5nY7qtxwQ==" saltValue="IGQbRJg6RdJBNHOJDoNjkg==" spinCount="100000" sqref="D37:D41" name="Range2"/>
    <protectedRange algorithmName="SHA-512" hashValue="tusJ8qK6lBeKdJxZb3vAB7xalaR2it0qYFXgazInW4wxlYAaZ7P8jjdDyy1gC54Jq66PYRL6nyOQ/qloOINtwA==" saltValue="exZGuXbg0sy+Jc8x/FMEuA==" spinCount="100000" sqref="B4 B7" name="Range1_1"/>
  </protectedRange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Davey</dc:creator>
  <cp:lastModifiedBy>Michael Davey</cp:lastModifiedBy>
  <dcterms:created xsi:type="dcterms:W3CDTF">2014-07-09T15:52:23Z</dcterms:created>
  <dcterms:modified xsi:type="dcterms:W3CDTF">2015-03-22T20:17:19Z</dcterms:modified>
</cp:coreProperties>
</file>